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gina\Desktop\SESJE 2026\III MARZEC\Uchwały eSesja\"/>
    </mc:Choice>
  </mc:AlternateContent>
  <xr:revisionPtr revIDLastSave="0" documentId="8_{C3660931-F45A-4435-A00C-0FD1A03AA428}" xr6:coauthVersionLast="47" xr6:coauthVersionMax="47" xr10:uidLastSave="{00000000-0000-0000-0000-000000000000}"/>
  <bookViews>
    <workbookView xWindow="-108" yWindow="-108" windowWidth="23256" windowHeight="12456" tabRatio="763" activeTab="4" xr2:uid="{00000000-000D-0000-FFFF-FFFF00000000}"/>
  </bookViews>
  <sheets>
    <sheet name="Wskażniki emisji" sheetId="34" r:id="rId1"/>
    <sheet name="Termomodernizacje - stan 2020r." sheetId="45" state="hidden" r:id="rId2"/>
    <sheet name="Efekt ekologiczny 2016-2020" sheetId="55" r:id="rId3"/>
    <sheet name="Osiągnięcie celów 2021-2025" sheetId="56" r:id="rId4"/>
    <sheet name="Efekt ekologiczny 2016-2030" sheetId="57" r:id="rId5"/>
  </sheets>
  <externalReferences>
    <externalReference r:id="rId6"/>
  </externalReferences>
  <definedNames>
    <definedName name="_xlnm.Print_Area" localSheetId="4">'Efekt ekologiczny 2016-2030'!$A$1:$BB$31</definedName>
    <definedName name="_xlnm.Print_Area" localSheetId="3">'Osiągnięcie celów 2021-2025'!$A$5:$BB$39</definedName>
    <definedName name="_xlnm.Print_Area" localSheetId="1">'Termomodernizacje - stan 2020r.'!$A$1:$S$30</definedName>
    <definedName name="_xlnm.Print_Area" localSheetId="0">'Wskażniki emisji'!$A$1:$H$17</definedName>
    <definedName name="pompa_ciepła___wiat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57" l="1"/>
  <c r="R19" i="57"/>
  <c r="S19" i="57"/>
  <c r="T19" i="57"/>
  <c r="U19" i="57"/>
  <c r="V19" i="57"/>
  <c r="W19" i="57"/>
  <c r="Q19" i="57"/>
  <c r="AA19" i="57"/>
  <c r="X19" i="57"/>
  <c r="L11" i="57" l="1"/>
  <c r="E11" i="57"/>
  <c r="F11" i="57"/>
  <c r="G11" i="57"/>
  <c r="H11" i="57"/>
  <c r="I11" i="57"/>
  <c r="J11" i="57"/>
  <c r="K11" i="57"/>
  <c r="D11" i="57"/>
  <c r="O20" i="57"/>
  <c r="O17" i="57"/>
  <c r="E42" i="57"/>
  <c r="E41" i="57"/>
  <c r="E39" i="57"/>
  <c r="F39" i="57"/>
  <c r="G39" i="57"/>
  <c r="H39" i="57"/>
  <c r="I39" i="57"/>
  <c r="J39" i="57"/>
  <c r="K39" i="57"/>
  <c r="L39" i="57"/>
  <c r="D39" i="57"/>
  <c r="G37" i="57"/>
  <c r="H37" i="57"/>
  <c r="I37" i="57"/>
  <c r="J37" i="57"/>
  <c r="K37" i="57"/>
  <c r="L37" i="57"/>
  <c r="F37" i="57"/>
  <c r="E37" i="57"/>
  <c r="D37" i="57"/>
  <c r="G36" i="57"/>
  <c r="H36" i="57"/>
  <c r="I36" i="57"/>
  <c r="J36" i="57"/>
  <c r="K36" i="57"/>
  <c r="L36" i="57"/>
  <c r="F36" i="57"/>
  <c r="E36" i="57"/>
  <c r="D36" i="57"/>
  <c r="E28" i="57"/>
  <c r="D28" i="57"/>
  <c r="I38" i="57" l="1"/>
  <c r="J38" i="57"/>
  <c r="H38" i="57"/>
  <c r="E44" i="57"/>
  <c r="K38" i="57"/>
  <c r="L38" i="57"/>
  <c r="F38" i="57"/>
  <c r="G38" i="57"/>
  <c r="D38" i="57"/>
  <c r="E45" i="57" l="1"/>
  <c r="O19" i="57" l="1"/>
  <c r="O15" i="57"/>
  <c r="E7" i="57"/>
  <c r="G7" i="57"/>
  <c r="H7" i="57"/>
  <c r="I7" i="57"/>
  <c r="J7" i="57"/>
  <c r="K7" i="57"/>
  <c r="L7" i="57"/>
  <c r="F7" i="57"/>
  <c r="D7" i="57"/>
  <c r="E16" i="56" l="1"/>
  <c r="D15" i="56"/>
  <c r="BB14" i="56"/>
  <c r="H14" i="56" s="1"/>
  <c r="E14" i="56"/>
  <c r="F14" i="56"/>
  <c r="G14" i="56"/>
  <c r="I14" i="56"/>
  <c r="J14" i="56"/>
  <c r="K14" i="56"/>
  <c r="L14" i="56"/>
  <c r="BA14" i="56"/>
  <c r="R9" i="57" l="1"/>
  <c r="S9" i="57"/>
  <c r="T9" i="57"/>
  <c r="U9" i="57"/>
  <c r="V9" i="57"/>
  <c r="W9" i="57"/>
  <c r="Q9" i="57"/>
  <c r="BA9" i="57"/>
  <c r="AY9" i="57"/>
  <c r="AX9" i="57"/>
  <c r="AW9" i="57"/>
  <c r="AV9" i="57"/>
  <c r="AU9" i="57"/>
  <c r="AT9" i="57"/>
  <c r="AS9" i="57"/>
  <c r="AR9" i="57"/>
  <c r="AN9" i="57"/>
  <c r="AA9" i="57" s="1"/>
  <c r="R8" i="57"/>
  <c r="S8" i="57"/>
  <c r="T8" i="57"/>
  <c r="U8" i="57"/>
  <c r="V8" i="57"/>
  <c r="W8" i="57"/>
  <c r="Q8" i="57"/>
  <c r="R13" i="56"/>
  <c r="S13" i="56"/>
  <c r="T13" i="56"/>
  <c r="U13" i="56"/>
  <c r="V13" i="56"/>
  <c r="W13" i="56"/>
  <c r="Q13" i="56"/>
  <c r="R12" i="56"/>
  <c r="S12" i="56"/>
  <c r="T12" i="56"/>
  <c r="U12" i="56"/>
  <c r="V12" i="56"/>
  <c r="W12" i="56"/>
  <c r="Q12" i="56"/>
  <c r="X9" i="57" l="1"/>
  <c r="D9" i="57" s="1"/>
  <c r="BB9" i="57"/>
  <c r="H9" i="57" s="1"/>
  <c r="E9" i="57"/>
  <c r="AD9" i="57"/>
  <c r="K9" i="57" s="1"/>
  <c r="AB9" i="57"/>
  <c r="I9" i="57" s="1"/>
  <c r="AC9" i="57"/>
  <c r="J9" i="57" s="1"/>
  <c r="AE9" i="57"/>
  <c r="L9" i="57" s="1"/>
  <c r="AO9" i="57"/>
  <c r="Y9" i="57"/>
  <c r="F9" i="57" s="1"/>
  <c r="Z9" i="57"/>
  <c r="G9" i="57" s="1"/>
  <c r="BA13" i="56"/>
  <c r="AN13" i="56"/>
  <c r="L28" i="57"/>
  <c r="K28" i="57"/>
  <c r="J28" i="57"/>
  <c r="I28" i="57"/>
  <c r="H28" i="57"/>
  <c r="G28" i="57"/>
  <c r="F28" i="57"/>
  <c r="B28" i="57"/>
  <c r="N27" i="57"/>
  <c r="R27" i="57" s="1"/>
  <c r="P21" i="57"/>
  <c r="R21" i="57" s="1"/>
  <c r="G21" i="57" s="1"/>
  <c r="AN20" i="57"/>
  <c r="AO20" i="57" s="1"/>
  <c r="P20" i="57"/>
  <c r="E20" i="57" s="1"/>
  <c r="L20" i="57"/>
  <c r="K20" i="57"/>
  <c r="J20" i="57"/>
  <c r="I20" i="57"/>
  <c r="G20" i="57"/>
  <c r="F20" i="57"/>
  <c r="AN19" i="57"/>
  <c r="AO19" i="57" s="1"/>
  <c r="P19" i="57"/>
  <c r="F19" i="57" s="1"/>
  <c r="AN18" i="57"/>
  <c r="AN17" i="57"/>
  <c r="AO17" i="57" s="1"/>
  <c r="AN16" i="57"/>
  <c r="AO16" i="57" s="1"/>
  <c r="AN15" i="57"/>
  <c r="AO15" i="57" s="1"/>
  <c r="N15" i="57"/>
  <c r="N16" i="57" s="1"/>
  <c r="AN14" i="57"/>
  <c r="N14" i="57"/>
  <c r="P14" i="57" s="1"/>
  <c r="AN10" i="57"/>
  <c r="Y10" i="57" s="1"/>
  <c r="F10" i="57" s="1"/>
  <c r="BA8" i="57"/>
  <c r="AY8" i="57"/>
  <c r="AX8" i="57"/>
  <c r="AW8" i="57"/>
  <c r="AV8" i="57"/>
  <c r="AU8" i="57"/>
  <c r="AT8" i="57"/>
  <c r="AS8" i="57"/>
  <c r="AR8" i="57"/>
  <c r="AN8" i="57"/>
  <c r="AE8" i="57" s="1"/>
  <c r="L8" i="57" s="1"/>
  <c r="G19" i="57" l="1"/>
  <c r="I19" i="57"/>
  <c r="K19" i="57"/>
  <c r="J19" i="57"/>
  <c r="U21" i="57"/>
  <c r="J21" i="57" s="1"/>
  <c r="H19" i="57"/>
  <c r="L19" i="57"/>
  <c r="X10" i="57"/>
  <c r="AC10" i="57" s="1"/>
  <c r="J10" i="57" s="1"/>
  <c r="D10" i="57"/>
  <c r="H10" i="57" s="1"/>
  <c r="S27" i="57"/>
  <c r="BB8" i="57"/>
  <c r="E8" i="57"/>
  <c r="AA13" i="56"/>
  <c r="Z13" i="56"/>
  <c r="AB13" i="56"/>
  <c r="AE13" i="56"/>
  <c r="AC13" i="56"/>
  <c r="J13" i="56" s="1"/>
  <c r="J16" i="56" s="1"/>
  <c r="AD13" i="56"/>
  <c r="Y13" i="56"/>
  <c r="F13" i="56" s="1"/>
  <c r="F16" i="56" s="1"/>
  <c r="BB13" i="56"/>
  <c r="E13" i="56"/>
  <c r="AO13" i="56"/>
  <c r="X13" i="56"/>
  <c r="X14" i="57"/>
  <c r="D14" i="57" s="1"/>
  <c r="V14" i="57"/>
  <c r="U14" i="57"/>
  <c r="T14" i="57"/>
  <c r="S14" i="57"/>
  <c r="R14" i="57"/>
  <c r="Q14" i="57"/>
  <c r="W14" i="57"/>
  <c r="N17" i="57"/>
  <c r="P16" i="57"/>
  <c r="X16" i="57" s="1"/>
  <c r="T21" i="57"/>
  <c r="I21" i="57" s="1"/>
  <c r="P15" i="57"/>
  <c r="S20" i="57"/>
  <c r="H20" i="57" s="1"/>
  <c r="S21" i="57"/>
  <c r="H21" i="57" s="1"/>
  <c r="X8" i="57"/>
  <c r="D8" i="57" s="1"/>
  <c r="Y8" i="57"/>
  <c r="F8" i="57" s="1"/>
  <c r="Z8" i="57"/>
  <c r="G8" i="57" s="1"/>
  <c r="AO10" i="57"/>
  <c r="V21" i="57"/>
  <c r="K21" i="57" s="1"/>
  <c r="AA8" i="57"/>
  <c r="AO18" i="57"/>
  <c r="W21" i="57"/>
  <c r="L21" i="57" s="1"/>
  <c r="AB8" i="57"/>
  <c r="I8" i="57" s="1"/>
  <c r="E21" i="57"/>
  <c r="AC8" i="57"/>
  <c r="J8" i="57" s="1"/>
  <c r="AD8" i="57"/>
  <c r="K8" i="57" s="1"/>
  <c r="AO14" i="57"/>
  <c r="AO8" i="57"/>
  <c r="Q21" i="57"/>
  <c r="F21" i="57" s="1"/>
  <c r="H8" i="57" l="1"/>
  <c r="AB10" i="57"/>
  <c r="I10" i="57" s="1"/>
  <c r="Z10" i="57"/>
  <c r="G10" i="57" s="1"/>
  <c r="AD10" i="57"/>
  <c r="K10" i="57" s="1"/>
  <c r="AA10" i="57"/>
  <c r="AE10" i="57"/>
  <c r="L10" i="57" s="1"/>
  <c r="H13" i="56"/>
  <c r="H16" i="56" s="1"/>
  <c r="D13" i="56"/>
  <c r="D16" i="56" s="1"/>
  <c r="X15" i="57"/>
  <c r="E15" i="57" s="1"/>
  <c r="W15" i="57"/>
  <c r="V15" i="57"/>
  <c r="U15" i="57"/>
  <c r="T15" i="57"/>
  <c r="S15" i="57"/>
  <c r="R15" i="57"/>
  <c r="Q15" i="57"/>
  <c r="P17" i="57"/>
  <c r="N18" i="57"/>
  <c r="P18" i="57" s="1"/>
  <c r="AE16" i="57"/>
  <c r="AD16" i="57"/>
  <c r="AC16" i="57"/>
  <c r="AB16" i="57"/>
  <c r="AA16" i="57"/>
  <c r="Z16" i="57"/>
  <c r="Y16" i="57"/>
  <c r="G14" i="57"/>
  <c r="R16" i="57"/>
  <c r="G16" i="57" s="1"/>
  <c r="Q16" i="57"/>
  <c r="W16" i="57"/>
  <c r="D16" i="57"/>
  <c r="V16" i="57"/>
  <c r="S16" i="57"/>
  <c r="U16" i="57"/>
  <c r="T16" i="57"/>
  <c r="Y14" i="57"/>
  <c r="F14" i="57" s="1"/>
  <c r="AE14" i="57"/>
  <c r="L14" i="57" s="1"/>
  <c r="AD14" i="57"/>
  <c r="K14" i="57" s="1"/>
  <c r="AC14" i="57"/>
  <c r="J14" i="57" s="1"/>
  <c r="Z14" i="57"/>
  <c r="AB14" i="57"/>
  <c r="I14" i="57" s="1"/>
  <c r="AA14" i="57"/>
  <c r="H14" i="57" s="1"/>
  <c r="D15" i="57" l="1"/>
  <c r="E22" i="57"/>
  <c r="E23" i="57" s="1"/>
  <c r="L16" i="57"/>
  <c r="F16" i="57"/>
  <c r="W18" i="57"/>
  <c r="V18" i="57"/>
  <c r="U18" i="57"/>
  <c r="T18" i="57"/>
  <c r="S18" i="57"/>
  <c r="R18" i="57"/>
  <c r="Q18" i="57"/>
  <c r="X18" i="57"/>
  <c r="D18" i="57" s="1"/>
  <c r="I16" i="57"/>
  <c r="AC15" i="57"/>
  <c r="J15" i="57" s="1"/>
  <c r="AB15" i="57"/>
  <c r="I15" i="57" s="1"/>
  <c r="Z15" i="57"/>
  <c r="G15" i="57" s="1"/>
  <c r="Y15" i="57"/>
  <c r="F15" i="57" s="1"/>
  <c r="AD15" i="57"/>
  <c r="K15" i="57" s="1"/>
  <c r="AA15" i="57"/>
  <c r="H15" i="57" s="1"/>
  <c r="AE15" i="57"/>
  <c r="L15" i="57" s="1"/>
  <c r="J16" i="57"/>
  <c r="H16" i="57"/>
  <c r="K16" i="57"/>
  <c r="W17" i="57"/>
  <c r="V17" i="57"/>
  <c r="T17" i="57"/>
  <c r="S17" i="57"/>
  <c r="R17" i="57"/>
  <c r="Q17" i="57"/>
  <c r="U17" i="57"/>
  <c r="X17" i="57"/>
  <c r="D17" i="57" s="1"/>
  <c r="E48" i="57" l="1"/>
  <c r="E49" i="57" s="1"/>
  <c r="E29" i="57"/>
  <c r="E30" i="57" s="1"/>
  <c r="D22" i="57"/>
  <c r="D23" i="57" s="1"/>
  <c r="AB18" i="57"/>
  <c r="I18" i="57" s="1"/>
  <c r="AA18" i="57"/>
  <c r="H18" i="57" s="1"/>
  <c r="Y18" i="57"/>
  <c r="F18" i="57" s="1"/>
  <c r="AC18" i="57"/>
  <c r="J18" i="57" s="1"/>
  <c r="AE18" i="57"/>
  <c r="L18" i="57" s="1"/>
  <c r="Z18" i="57"/>
  <c r="G18" i="57" s="1"/>
  <c r="AD18" i="57"/>
  <c r="K18" i="57" s="1"/>
  <c r="AE17" i="57"/>
  <c r="L17" i="57" s="1"/>
  <c r="AD17" i="57"/>
  <c r="K17" i="57" s="1"/>
  <c r="AC17" i="57"/>
  <c r="J17" i="57" s="1"/>
  <c r="AB17" i="57"/>
  <c r="I17" i="57" s="1"/>
  <c r="AA17" i="57"/>
  <c r="H17" i="57" s="1"/>
  <c r="Z17" i="57"/>
  <c r="G17" i="57" s="1"/>
  <c r="Y17" i="57"/>
  <c r="F17" i="57" s="1"/>
  <c r="I22" i="57" l="1"/>
  <c r="I23" i="57" s="1"/>
  <c r="H22" i="57"/>
  <c r="H23" i="57" s="1"/>
  <c r="L22" i="57"/>
  <c r="L23" i="57" s="1"/>
  <c r="G22" i="57"/>
  <c r="G23" i="57" s="1"/>
  <c r="J22" i="57"/>
  <c r="J23" i="57" s="1"/>
  <c r="K22" i="57"/>
  <c r="K23" i="57" s="1"/>
  <c r="F22" i="57"/>
  <c r="F23" i="57" s="1"/>
  <c r="E15" i="34" l="1"/>
  <c r="E12" i="34"/>
  <c r="D12" i="34"/>
  <c r="D7" i="34"/>
  <c r="E6" i="34"/>
  <c r="AN11" i="56" l="1"/>
  <c r="E30" i="55"/>
  <c r="E45" i="55"/>
  <c r="N32" i="56" l="1"/>
  <c r="R32" i="56" s="1"/>
  <c r="S32" i="56" s="1"/>
  <c r="H15" i="56" s="1"/>
  <c r="E23" i="55" l="1"/>
  <c r="F23" i="55"/>
  <c r="G23" i="55"/>
  <c r="H23" i="55"/>
  <c r="I23" i="55"/>
  <c r="J23" i="55"/>
  <c r="K23" i="55"/>
  <c r="L23" i="55"/>
  <c r="D23" i="55"/>
  <c r="E16" i="55"/>
  <c r="AN16" i="55"/>
  <c r="AB16" i="55" s="1"/>
  <c r="I16" i="55" s="1"/>
  <c r="AN17" i="55"/>
  <c r="AN18" i="55"/>
  <c r="AN12" i="55"/>
  <c r="Z12" i="55" s="1"/>
  <c r="AA17" i="55" l="1"/>
  <c r="X17" i="55"/>
  <c r="AE17" i="55"/>
  <c r="X16" i="55"/>
  <c r="D16" i="55" s="1"/>
  <c r="AE16" i="55"/>
  <c r="L16" i="55" s="1"/>
  <c r="AA16" i="55"/>
  <c r="H16" i="55" s="1"/>
  <c r="Y16" i="55"/>
  <c r="F16" i="55" s="1"/>
  <c r="Z16" i="55"/>
  <c r="G16" i="55" s="1"/>
  <c r="AD16" i="55"/>
  <c r="K16" i="55" s="1"/>
  <c r="AC16" i="55"/>
  <c r="J16" i="55" s="1"/>
  <c r="Y12" i="55"/>
  <c r="X12" i="55"/>
  <c r="D12" i="55" s="1"/>
  <c r="AE12" i="55"/>
  <c r="L12" i="55" s="1"/>
  <c r="AD12" i="55"/>
  <c r="AB12" i="55"/>
  <c r="AC12" i="55"/>
  <c r="AA12" i="55"/>
  <c r="G12" i="55"/>
  <c r="F12" i="55" l="1"/>
  <c r="K12" i="55"/>
  <c r="J12" i="55" s="1"/>
  <c r="I12" i="55" s="1"/>
  <c r="AP12" i="55" l="1"/>
  <c r="E12" i="55" s="1"/>
  <c r="AN13" i="55"/>
  <c r="AP13" i="55"/>
  <c r="AN14" i="55"/>
  <c r="AP14" i="55"/>
  <c r="AN15" i="55"/>
  <c r="AP15" i="55"/>
  <c r="AP17" i="55"/>
  <c r="AP18" i="55"/>
  <c r="X15" i="55" l="1"/>
  <c r="D15" i="55" s="1"/>
  <c r="AA15" i="55"/>
  <c r="AE15" i="55"/>
  <c r="L15" i="55" s="1"/>
  <c r="AD15" i="55" s="1"/>
  <c r="K15" i="55" s="1"/>
  <c r="AC15" i="55" s="1"/>
  <c r="J15" i="55" s="1"/>
  <c r="AB15" i="55" s="1"/>
  <c r="I15" i="55" s="1"/>
  <c r="AQ18" i="55"/>
  <c r="E18" i="55"/>
  <c r="AQ13" i="55"/>
  <c r="E13" i="55"/>
  <c r="AQ17" i="55"/>
  <c r="E17" i="55"/>
  <c r="AQ14" i="55"/>
  <c r="E14" i="55"/>
  <c r="Y18" i="55"/>
  <c r="F18" i="55" s="1"/>
  <c r="AA18" i="55"/>
  <c r="AB18" i="55"/>
  <c r="I18" i="55" s="1"/>
  <c r="X18" i="55"/>
  <c r="D18" i="55" s="1"/>
  <c r="Z18" i="55"/>
  <c r="G18" i="55" s="1"/>
  <c r="AE18" i="55"/>
  <c r="L18" i="55" s="1"/>
  <c r="AC18" i="55"/>
  <c r="J18" i="55" s="1"/>
  <c r="AD18" i="55"/>
  <c r="K18" i="55" s="1"/>
  <c r="X13" i="55"/>
  <c r="D13" i="55" s="1"/>
  <c r="AA13" i="55"/>
  <c r="AE13" i="55"/>
  <c r="L13" i="55" s="1"/>
  <c r="AD13" i="55" s="1"/>
  <c r="K13" i="55" s="1"/>
  <c r="AC13" i="55" s="1"/>
  <c r="J13" i="55" s="1"/>
  <c r="AB13" i="55" s="1"/>
  <c r="I13" i="55" s="1"/>
  <c r="D17" i="55"/>
  <c r="L17" i="55"/>
  <c r="AD17" i="55" s="1"/>
  <c r="X14" i="55"/>
  <c r="D14" i="55" s="1"/>
  <c r="AA14" i="55"/>
  <c r="AE14" i="55"/>
  <c r="L14" i="55" s="1"/>
  <c r="AD14" i="55" s="1"/>
  <c r="K14" i="55" s="1"/>
  <c r="AC14" i="55" s="1"/>
  <c r="J14" i="55" s="1"/>
  <c r="AB14" i="55" s="1"/>
  <c r="I14" i="55" s="1"/>
  <c r="AQ15" i="55"/>
  <c r="E15" i="55"/>
  <c r="AQ12" i="55"/>
  <c r="H12" i="55" s="1"/>
  <c r="H30" i="55"/>
  <c r="G30" i="55"/>
  <c r="K30" i="55"/>
  <c r="J30" i="55"/>
  <c r="D30" i="55"/>
  <c r="F30" i="55"/>
  <c r="I30" i="55"/>
  <c r="L30" i="55"/>
  <c r="H18" i="55" l="1"/>
  <c r="H13" i="55"/>
  <c r="Z13" i="55" s="1"/>
  <c r="G13" i="55" s="1"/>
  <c r="Y13" i="55" s="1"/>
  <c r="F13" i="55" s="1"/>
  <c r="K17" i="55"/>
  <c r="H17" i="55"/>
  <c r="H15" i="55"/>
  <c r="Z15" i="55" s="1"/>
  <c r="G15" i="55" s="1"/>
  <c r="Y15" i="55" s="1"/>
  <c r="F15" i="55" s="1"/>
  <c r="H14" i="55"/>
  <c r="Z14" i="55" s="1"/>
  <c r="G14" i="55" s="1"/>
  <c r="Y14" i="55" s="1"/>
  <c r="F14" i="55" s="1"/>
  <c r="P24" i="56"/>
  <c r="Q24" i="56" s="1"/>
  <c r="AN22" i="56"/>
  <c r="AO22" i="56" s="1"/>
  <c r="AN23" i="56"/>
  <c r="AO23" i="56" s="1"/>
  <c r="N19" i="56"/>
  <c r="P39" i="55"/>
  <c r="AN11" i="55"/>
  <c r="W24" i="56" l="1"/>
  <c r="T24" i="56"/>
  <c r="S24" i="56"/>
  <c r="R24" i="56"/>
  <c r="V24" i="56"/>
  <c r="U24" i="56"/>
  <c r="Z17" i="55"/>
  <c r="G17" i="55" s="1"/>
  <c r="AC17" i="55"/>
  <c r="J17" i="55" s="1"/>
  <c r="X11" i="55"/>
  <c r="D11" i="55" s="1"/>
  <c r="AA11" i="55"/>
  <c r="AE11" i="55"/>
  <c r="AB17" i="55" l="1"/>
  <c r="I17" i="55" s="1"/>
  <c r="Y17" i="55"/>
  <c r="F17" i="55" s="1"/>
  <c r="N20" i="56"/>
  <c r="N21" i="56" s="1"/>
  <c r="N22" i="56" s="1"/>
  <c r="P19" i="56"/>
  <c r="AN19" i="56"/>
  <c r="P35" i="55"/>
  <c r="P34" i="55"/>
  <c r="P33" i="55"/>
  <c r="AN33" i="55"/>
  <c r="AN34" i="55"/>
  <c r="AN35" i="55"/>
  <c r="P38" i="55"/>
  <c r="D33" i="56"/>
  <c r="L25" i="56"/>
  <c r="K25" i="56"/>
  <c r="J25" i="56"/>
  <c r="I25" i="56"/>
  <c r="G25" i="56"/>
  <c r="F25" i="56"/>
  <c r="P26" i="56"/>
  <c r="P25" i="56"/>
  <c r="S26" i="56" l="1"/>
  <c r="H26" i="56" s="1"/>
  <c r="E26" i="56"/>
  <c r="R26" i="56"/>
  <c r="G26" i="56" s="1"/>
  <c r="Q26" i="56"/>
  <c r="F26" i="56" s="1"/>
  <c r="T26" i="56"/>
  <c r="I26" i="56" s="1"/>
  <c r="U26" i="56"/>
  <c r="J26" i="56" s="1"/>
  <c r="V26" i="56"/>
  <c r="K26" i="56" s="1"/>
  <c r="W26" i="56"/>
  <c r="L26" i="56" s="1"/>
  <c r="E25" i="56"/>
  <c r="S25" i="56"/>
  <c r="H25" i="56" s="1"/>
  <c r="P22" i="56"/>
  <c r="N23" i="56"/>
  <c r="P23" i="56" s="1"/>
  <c r="Q19" i="56"/>
  <c r="S19" i="56"/>
  <c r="R19" i="56"/>
  <c r="T19" i="56"/>
  <c r="U19" i="56"/>
  <c r="V19" i="56"/>
  <c r="W19" i="56"/>
  <c r="X19" i="56"/>
  <c r="D19" i="56" s="1"/>
  <c r="AO19" i="56"/>
  <c r="P21" i="56"/>
  <c r="X33" i="55"/>
  <c r="BA12" i="56"/>
  <c r="BB12" i="56" s="1"/>
  <c r="AY12" i="56"/>
  <c r="AX12" i="56"/>
  <c r="AW12" i="56"/>
  <c r="AV12" i="56"/>
  <c r="AU12" i="56"/>
  <c r="AT12" i="56"/>
  <c r="AS12" i="56"/>
  <c r="AR12" i="56"/>
  <c r="BA11" i="56"/>
  <c r="BB11" i="56" s="1"/>
  <c r="AY11" i="56"/>
  <c r="AX11" i="56"/>
  <c r="AW11" i="56"/>
  <c r="AV11" i="56"/>
  <c r="AU11" i="56"/>
  <c r="AT11" i="56"/>
  <c r="AS11" i="56"/>
  <c r="AR11" i="56"/>
  <c r="AN24" i="56"/>
  <c r="AO24" i="56" s="1"/>
  <c r="AN25" i="56"/>
  <c r="AO25" i="56" s="1"/>
  <c r="W22" i="56" l="1"/>
  <c r="Q22" i="56"/>
  <c r="R22" i="56"/>
  <c r="U22" i="56"/>
  <c r="S22" i="56"/>
  <c r="X22" i="56"/>
  <c r="D22" i="56" s="1"/>
  <c r="T22" i="56"/>
  <c r="V22" i="56"/>
  <c r="V23" i="56"/>
  <c r="X23" i="56"/>
  <c r="D23" i="56" s="1"/>
  <c r="T23" i="56"/>
  <c r="W23" i="56"/>
  <c r="R23" i="56"/>
  <c r="U23" i="56"/>
  <c r="S23" i="56"/>
  <c r="Q23" i="56"/>
  <c r="P20" i="56"/>
  <c r="AE19" i="56"/>
  <c r="L19" i="56" s="1"/>
  <c r="Y19" i="56"/>
  <c r="F19" i="56" s="1"/>
  <c r="AA19" i="56"/>
  <c r="H19" i="56" s="1"/>
  <c r="Z19" i="56"/>
  <c r="G19" i="56" s="1"/>
  <c r="AB19" i="56"/>
  <c r="I19" i="56" s="1"/>
  <c r="AC19" i="56"/>
  <c r="J19" i="56" s="1"/>
  <c r="AD19" i="56"/>
  <c r="K19" i="56" s="1"/>
  <c r="E11" i="56"/>
  <c r="K24" i="56"/>
  <c r="J24" i="56"/>
  <c r="H24" i="56"/>
  <c r="I24" i="56"/>
  <c r="G24" i="56"/>
  <c r="F24" i="56"/>
  <c r="L24" i="56"/>
  <c r="W33" i="55"/>
  <c r="T33" i="55"/>
  <c r="Q33" i="55"/>
  <c r="R33" i="55"/>
  <c r="S33" i="55"/>
  <c r="U33" i="55"/>
  <c r="V33" i="55"/>
  <c r="AE33" i="55"/>
  <c r="Y33" i="55"/>
  <c r="Z33" i="55"/>
  <c r="AB33" i="55"/>
  <c r="AA33" i="55"/>
  <c r="AC33" i="55"/>
  <c r="AD33" i="55"/>
  <c r="X24" i="56"/>
  <c r="D24" i="56" s="1"/>
  <c r="P37" i="55"/>
  <c r="S37" i="55" s="1"/>
  <c r="P36" i="55"/>
  <c r="U36" i="55" l="1"/>
  <c r="R36" i="55"/>
  <c r="V36" i="55"/>
  <c r="S36" i="55"/>
  <c r="W36" i="55"/>
  <c r="T36" i="55"/>
  <c r="Q36" i="55"/>
  <c r="Z23" i="56"/>
  <c r="G23" i="56" s="1"/>
  <c r="AE23" i="56"/>
  <c r="L23" i="56" s="1"/>
  <c r="Y23" i="56"/>
  <c r="F23" i="56" s="1"/>
  <c r="AA23" i="56"/>
  <c r="H23" i="56" s="1"/>
  <c r="AB23" i="56"/>
  <c r="I23" i="56" s="1"/>
  <c r="AC23" i="56"/>
  <c r="J23" i="56" s="1"/>
  <c r="AD23" i="56"/>
  <c r="K23" i="56" s="1"/>
  <c r="AA22" i="56"/>
  <c r="H22" i="56" s="1"/>
  <c r="AC22" i="56"/>
  <c r="J22" i="56" s="1"/>
  <c r="AB22" i="56"/>
  <c r="I22" i="56" s="1"/>
  <c r="Z22" i="56"/>
  <c r="G22" i="56" s="1"/>
  <c r="AE22" i="56"/>
  <c r="L22" i="56" s="1"/>
  <c r="AD22" i="56"/>
  <c r="K22" i="56" s="1"/>
  <c r="Y22" i="56"/>
  <c r="F22" i="56" s="1"/>
  <c r="E24" i="56"/>
  <c r="T34" i="55"/>
  <c r="U34" i="55"/>
  <c r="V34" i="55"/>
  <c r="W34" i="55"/>
  <c r="Q34" i="55"/>
  <c r="R34" i="55"/>
  <c r="S34" i="55"/>
  <c r="X34" i="55"/>
  <c r="AN36" i="55"/>
  <c r="J24" i="55"/>
  <c r="G24" i="55"/>
  <c r="F24" i="55"/>
  <c r="H24" i="55"/>
  <c r="K24" i="55"/>
  <c r="L24" i="55"/>
  <c r="D24" i="55"/>
  <c r="AB34" i="55" l="1"/>
  <c r="Y34" i="55"/>
  <c r="AC34" i="55"/>
  <c r="AD34" i="55"/>
  <c r="AE34" i="55"/>
  <c r="Z34" i="55"/>
  <c r="AA34" i="55"/>
  <c r="Q35" i="55"/>
  <c r="R35" i="55"/>
  <c r="S35" i="55"/>
  <c r="T35" i="55"/>
  <c r="V35" i="55"/>
  <c r="U35" i="55"/>
  <c r="W35" i="55"/>
  <c r="X35" i="55"/>
  <c r="X36" i="55"/>
  <c r="Y35" i="55" l="1"/>
  <c r="Z35" i="55"/>
  <c r="AD35" i="55"/>
  <c r="AA35" i="55"/>
  <c r="AB35" i="55"/>
  <c r="AC35" i="55"/>
  <c r="AE35" i="55"/>
  <c r="AE36" i="55"/>
  <c r="Z36" i="55"/>
  <c r="AB36" i="55"/>
  <c r="AC36" i="55"/>
  <c r="AD36" i="55"/>
  <c r="Y36" i="55"/>
  <c r="AA36" i="55"/>
  <c r="B33" i="56"/>
  <c r="S39" i="55"/>
  <c r="U38" i="55"/>
  <c r="X37" i="55"/>
  <c r="S38" i="55" l="1"/>
  <c r="T38" i="55"/>
  <c r="R38" i="55"/>
  <c r="Q38" i="55"/>
  <c r="W38" i="55"/>
  <c r="W37" i="55"/>
  <c r="V37" i="55"/>
  <c r="R37" i="55"/>
  <c r="U37" i="55"/>
  <c r="V38" i="55"/>
  <c r="Q37" i="55"/>
  <c r="T37" i="55"/>
  <c r="AP11" i="55" l="1"/>
  <c r="AQ11" i="55" s="1"/>
  <c r="H11" i="55" l="1"/>
  <c r="Z11" i="55" s="1"/>
  <c r="E11" i="55"/>
  <c r="E19" i="55" s="1"/>
  <c r="H19" i="55" l="1"/>
  <c r="H20" i="55" s="1"/>
  <c r="D19" i="55"/>
  <c r="D20" i="55" s="1"/>
  <c r="L11" i="55"/>
  <c r="L19" i="55" l="1"/>
  <c r="L20" i="55" s="1"/>
  <c r="AD11" i="55"/>
  <c r="K11" i="55" s="1"/>
  <c r="G11" i="55"/>
  <c r="Y11" i="55" s="1"/>
  <c r="F11" i="55" s="1"/>
  <c r="F19" i="55" s="1"/>
  <c r="K19" i="55" l="1"/>
  <c r="K20" i="55" s="1"/>
  <c r="AC11" i="55"/>
  <c r="J11" i="55" s="1"/>
  <c r="AB11" i="55" s="1"/>
  <c r="G19" i="55"/>
  <c r="G20" i="55" s="1"/>
  <c r="I11" i="55" l="1"/>
  <c r="I19" i="55" s="1"/>
  <c r="J19" i="55"/>
  <c r="J20" i="55" s="1"/>
  <c r="F20" i="55"/>
  <c r="I4" i="45" l="1"/>
  <c r="C27" i="45"/>
  <c r="E33" i="56" l="1"/>
  <c r="F33" i="56"/>
  <c r="G33" i="56"/>
  <c r="H33" i="56"/>
  <c r="I33" i="56"/>
  <c r="J33" i="56"/>
  <c r="K33" i="56"/>
  <c r="L33" i="56"/>
  <c r="D49" i="55"/>
  <c r="F46" i="55"/>
  <c r="G49" i="55"/>
  <c r="H49" i="55"/>
  <c r="I49" i="55"/>
  <c r="J49" i="55"/>
  <c r="K49" i="55"/>
  <c r="L49" i="55"/>
  <c r="F49" i="55"/>
  <c r="G46" i="55"/>
  <c r="H46" i="55"/>
  <c r="I46" i="55"/>
  <c r="J46" i="55"/>
  <c r="K46" i="55"/>
  <c r="L46" i="55"/>
  <c r="E46" i="55"/>
  <c r="D46" i="55"/>
  <c r="P27" i="55"/>
  <c r="Q27" i="55" s="1"/>
  <c r="P29" i="55"/>
  <c r="P28" i="55"/>
  <c r="V28" i="55" s="1"/>
  <c r="AN27" i="55"/>
  <c r="AN28" i="55"/>
  <c r="AN29" i="55"/>
  <c r="AN21" i="56"/>
  <c r="AN20" i="56"/>
  <c r="AO20" i="56" s="1"/>
  <c r="AN15" i="56"/>
  <c r="AN12" i="56"/>
  <c r="E47" i="55" l="1"/>
  <c r="AO11" i="56"/>
  <c r="Z11" i="56"/>
  <c r="AA11" i="56"/>
  <c r="AB11" i="56"/>
  <c r="Y11" i="56"/>
  <c r="AC11" i="56"/>
  <c r="AD11" i="56"/>
  <c r="AE11" i="56"/>
  <c r="X11" i="56"/>
  <c r="D11" i="56" s="1"/>
  <c r="AO15" i="56"/>
  <c r="Y15" i="56"/>
  <c r="AO12" i="56"/>
  <c r="Y12" i="56"/>
  <c r="P41" i="55"/>
  <c r="W27" i="55"/>
  <c r="E49" i="55"/>
  <c r="X15" i="56"/>
  <c r="Z15" i="56" s="1"/>
  <c r="V27" i="55"/>
  <c r="Q28" i="55"/>
  <c r="X27" i="55"/>
  <c r="U27" i="55"/>
  <c r="T27" i="55"/>
  <c r="X28" i="55"/>
  <c r="E28" i="55" s="1"/>
  <c r="U28" i="55"/>
  <c r="T28" i="55"/>
  <c r="S28" i="55"/>
  <c r="R28" i="55"/>
  <c r="S27" i="55"/>
  <c r="W28" i="55"/>
  <c r="R27" i="55"/>
  <c r="W21" i="56"/>
  <c r="V21" i="56"/>
  <c r="U21" i="56"/>
  <c r="T21" i="56"/>
  <c r="S21" i="56"/>
  <c r="R21" i="56"/>
  <c r="Q21" i="56"/>
  <c r="X21" i="56"/>
  <c r="D21" i="56" s="1"/>
  <c r="AO21" i="56"/>
  <c r="X12" i="56"/>
  <c r="K13" i="56" l="1"/>
  <c r="K16" i="56" s="1"/>
  <c r="I13" i="56"/>
  <c r="I16" i="56" s="1"/>
  <c r="L13" i="56"/>
  <c r="L16" i="56" s="1"/>
  <c r="G13" i="56"/>
  <c r="G16" i="56" s="1"/>
  <c r="Z21" i="56"/>
  <c r="G21" i="56" s="1"/>
  <c r="AC21" i="56"/>
  <c r="J21" i="56" s="1"/>
  <c r="AD21" i="56"/>
  <c r="K21" i="56" s="1"/>
  <c r="AE21" i="56"/>
  <c r="L21" i="56" s="1"/>
  <c r="Y21" i="56"/>
  <c r="F21" i="56" s="1"/>
  <c r="AA21" i="56"/>
  <c r="H21" i="56" s="1"/>
  <c r="AB21" i="56"/>
  <c r="I21" i="56" s="1"/>
  <c r="D12" i="56"/>
  <c r="E12" i="56"/>
  <c r="Z12" i="56"/>
  <c r="AD12" i="56"/>
  <c r="AA12" i="56"/>
  <c r="H12" i="56" s="1"/>
  <c r="AB12" i="56"/>
  <c r="AC12" i="56"/>
  <c r="AE12" i="56"/>
  <c r="H11" i="56"/>
  <c r="Y27" i="55"/>
  <c r="AA27" i="55"/>
  <c r="AE27" i="55"/>
  <c r="AA15" i="56"/>
  <c r="G15" i="56" s="1"/>
  <c r="AB15" i="56"/>
  <c r="AE15" i="56"/>
  <c r="L15" i="56" s="1"/>
  <c r="AD15" i="56"/>
  <c r="AC15" i="56"/>
  <c r="AC27" i="55"/>
  <c r="AD27" i="55"/>
  <c r="Z27" i="55"/>
  <c r="AB27" i="55"/>
  <c r="AC28" i="55"/>
  <c r="Z28" i="55"/>
  <c r="AE28" i="55"/>
  <c r="AB28" i="55"/>
  <c r="AD28" i="55"/>
  <c r="AA28" i="55"/>
  <c r="Y28" i="55"/>
  <c r="S20" i="56"/>
  <c r="R20" i="56"/>
  <c r="Q20" i="56"/>
  <c r="X20" i="56"/>
  <c r="W20" i="56"/>
  <c r="V20" i="56"/>
  <c r="U20" i="56"/>
  <c r="T20" i="56"/>
  <c r="E20" i="56" l="1"/>
  <c r="E27" i="56" s="1"/>
  <c r="E28" i="56" s="1"/>
  <c r="D20" i="56"/>
  <c r="D27" i="56" s="1"/>
  <c r="G11" i="56"/>
  <c r="K15" i="56"/>
  <c r="J15" i="56" s="1"/>
  <c r="I15" i="56" s="1"/>
  <c r="F15" i="56"/>
  <c r="G12" i="56"/>
  <c r="F12" i="56" s="1"/>
  <c r="L12" i="56" s="1"/>
  <c r="K12" i="56" s="1"/>
  <c r="T29" i="55"/>
  <c r="T41" i="55" s="1"/>
  <c r="R29" i="55"/>
  <c r="R41" i="55" s="1"/>
  <c r="S29" i="55"/>
  <c r="S41" i="55" s="1"/>
  <c r="V29" i="55"/>
  <c r="V41" i="55" s="1"/>
  <c r="X29" i="55"/>
  <c r="X41" i="55" s="1"/>
  <c r="W29" i="55"/>
  <c r="W41" i="55" s="1"/>
  <c r="U29" i="55"/>
  <c r="U41" i="55" s="1"/>
  <c r="Q29" i="55"/>
  <c r="Q41" i="55" s="1"/>
  <c r="AA20" i="56"/>
  <c r="H20" i="56" s="1"/>
  <c r="H27" i="56" s="1"/>
  <c r="Z20" i="56"/>
  <c r="G20" i="56" s="1"/>
  <c r="G27" i="56" s="1"/>
  <c r="Y20" i="56"/>
  <c r="F20" i="56" s="1"/>
  <c r="F27" i="56" s="1"/>
  <c r="AE20" i="56"/>
  <c r="L20" i="56" s="1"/>
  <c r="L27" i="56" s="1"/>
  <c r="AD20" i="56"/>
  <c r="K20" i="56" s="1"/>
  <c r="K27" i="56" s="1"/>
  <c r="AC20" i="56"/>
  <c r="J20" i="56" s="1"/>
  <c r="J27" i="56" s="1"/>
  <c r="AB20" i="56"/>
  <c r="I20" i="56" s="1"/>
  <c r="I27" i="56" s="1"/>
  <c r="E34" i="56" l="1"/>
  <c r="E36" i="56" s="1"/>
  <c r="E35" i="56"/>
  <c r="E37" i="56" s="1"/>
  <c r="J12" i="56"/>
  <c r="I12" i="56" s="1"/>
  <c r="F11" i="56"/>
  <c r="D28" i="56"/>
  <c r="H28" i="56"/>
  <c r="H35" i="56" s="1"/>
  <c r="H37" i="56" s="1"/>
  <c r="AB29" i="55"/>
  <c r="AB41" i="55" s="1"/>
  <c r="AC29" i="55"/>
  <c r="AC41" i="55" s="1"/>
  <c r="AD29" i="55"/>
  <c r="AD41" i="55" s="1"/>
  <c r="AA29" i="55"/>
  <c r="AA41" i="55" s="1"/>
  <c r="Z29" i="55"/>
  <c r="Z41" i="55" s="1"/>
  <c r="AE29" i="55"/>
  <c r="AE41" i="55" s="1"/>
  <c r="Y29" i="55"/>
  <c r="Y41" i="55" s="1"/>
  <c r="H41" i="57" l="1"/>
  <c r="H29" i="57"/>
  <c r="D35" i="56"/>
  <c r="E46" i="57" s="1"/>
  <c r="D34" i="56"/>
  <c r="G28" i="56"/>
  <c r="G35" i="56" s="1"/>
  <c r="G37" i="56" s="1"/>
  <c r="L11" i="56"/>
  <c r="E31" i="55"/>
  <c r="E50" i="55" s="1"/>
  <c r="G41" i="57" l="1"/>
  <c r="G29" i="57"/>
  <c r="D37" i="56"/>
  <c r="H30" i="57"/>
  <c r="H31" i="57"/>
  <c r="H44" i="57"/>
  <c r="H42" i="57"/>
  <c r="F28" i="56"/>
  <c r="F35" i="56" s="1"/>
  <c r="F37" i="56"/>
  <c r="E51" i="55"/>
  <c r="D55" i="55" s="1"/>
  <c r="K11" i="56"/>
  <c r="H46" i="57" l="1"/>
  <c r="H45" i="57"/>
  <c r="H48" i="57"/>
  <c r="F41" i="57"/>
  <c r="F29" i="57"/>
  <c r="D29" i="57"/>
  <c r="D41" i="57"/>
  <c r="G30" i="57"/>
  <c r="G31" i="57"/>
  <c r="G42" i="57"/>
  <c r="G44" i="57"/>
  <c r="L28" i="56"/>
  <c r="L35" i="56" s="1"/>
  <c r="L37" i="56" s="1"/>
  <c r="J11" i="56"/>
  <c r="E32" i="55"/>
  <c r="I48" i="55"/>
  <c r="K48" i="55"/>
  <c r="J48" i="55"/>
  <c r="D48" i="55"/>
  <c r="C26" i="45"/>
  <c r="L41" i="57" l="1"/>
  <c r="L29" i="57"/>
  <c r="G45" i="57"/>
  <c r="G46" i="57"/>
  <c r="G48" i="57"/>
  <c r="D44" i="57"/>
  <c r="D42" i="57"/>
  <c r="D30" i="57"/>
  <c r="D31" i="57"/>
  <c r="F30" i="57"/>
  <c r="F31" i="57"/>
  <c r="F44" i="57"/>
  <c r="F42" i="57"/>
  <c r="H50" i="57"/>
  <c r="H49" i="57"/>
  <c r="K28" i="56"/>
  <c r="K35" i="56" s="1"/>
  <c r="K37" i="56" s="1"/>
  <c r="I11" i="56"/>
  <c r="H48" i="55"/>
  <c r="F48" i="55"/>
  <c r="L48" i="55"/>
  <c r="G48" i="55"/>
  <c r="E48" i="55"/>
  <c r="K41" i="57" l="1"/>
  <c r="K29" i="57"/>
  <c r="F46" i="57"/>
  <c r="F45" i="57"/>
  <c r="F48" i="57"/>
  <c r="E50" i="57"/>
  <c r="E31" i="57"/>
  <c r="D48" i="57"/>
  <c r="D45" i="57"/>
  <c r="D46" i="57"/>
  <c r="G50" i="57"/>
  <c r="G49" i="57"/>
  <c r="L30" i="57"/>
  <c r="L31" i="57"/>
  <c r="L42" i="57"/>
  <c r="L44" i="57"/>
  <c r="J28" i="56"/>
  <c r="J35" i="56" s="1"/>
  <c r="J37" i="56" s="1"/>
  <c r="I28" i="56"/>
  <c r="I35" i="56" s="1"/>
  <c r="I37" i="56" s="1"/>
  <c r="Q20" i="45"/>
  <c r="L46" i="57" l="1"/>
  <c r="L45" i="57"/>
  <c r="L48" i="57"/>
  <c r="D50" i="57"/>
  <c r="D49" i="57"/>
  <c r="F50" i="57"/>
  <c r="F49" i="57"/>
  <c r="J41" i="57"/>
  <c r="J29" i="57"/>
  <c r="K30" i="57"/>
  <c r="K31" i="57"/>
  <c r="I41" i="57"/>
  <c r="I29" i="57"/>
  <c r="K44" i="57"/>
  <c r="K42" i="57"/>
  <c r="C29" i="45"/>
  <c r="K46" i="57" l="1"/>
  <c r="K45" i="57"/>
  <c r="K48" i="57"/>
  <c r="I30" i="57"/>
  <c r="I31" i="57"/>
  <c r="I42" i="57"/>
  <c r="I44" i="57"/>
  <c r="J30" i="57"/>
  <c r="J31" i="57"/>
  <c r="J44" i="57"/>
  <c r="J42" i="57"/>
  <c r="L50" i="57"/>
  <c r="L49" i="57"/>
  <c r="I15" i="45"/>
  <c r="P15" i="45" s="1"/>
  <c r="J46" i="57" l="1"/>
  <c r="J45" i="57"/>
  <c r="J48" i="57"/>
  <c r="I45" i="57"/>
  <c r="I46" i="57"/>
  <c r="I48" i="57"/>
  <c r="K50" i="57"/>
  <c r="K49" i="57"/>
  <c r="J15" i="45"/>
  <c r="K15" i="45"/>
  <c r="N15" i="45"/>
  <c r="O15" i="45"/>
  <c r="M15" i="45"/>
  <c r="L15" i="45"/>
  <c r="I50" i="57" l="1"/>
  <c r="I49" i="57"/>
  <c r="J50" i="57"/>
  <c r="J49" i="57"/>
  <c r="I7" i="45"/>
  <c r="I11" i="45"/>
  <c r="I5" i="45"/>
  <c r="I6" i="45"/>
  <c r="I8" i="45"/>
  <c r="I9" i="45"/>
  <c r="I10" i="45"/>
  <c r="I12" i="45"/>
  <c r="I13" i="45"/>
  <c r="I14" i="45"/>
  <c r="I16" i="45"/>
  <c r="C28" i="45"/>
  <c r="I18" i="45"/>
  <c r="I19" i="45"/>
  <c r="C24" i="45" l="1"/>
  <c r="C25" i="45"/>
  <c r="K10" i="45"/>
  <c r="O10" i="45"/>
  <c r="N10" i="45"/>
  <c r="L10" i="45"/>
  <c r="P10" i="45"/>
  <c r="M10" i="45"/>
  <c r="J10" i="45"/>
  <c r="J7" i="45"/>
  <c r="N7" i="45"/>
  <c r="K7" i="45"/>
  <c r="O7" i="45"/>
  <c r="M7" i="45"/>
  <c r="L7" i="45"/>
  <c r="P7" i="45"/>
  <c r="M14" i="45"/>
  <c r="J14" i="45"/>
  <c r="P14" i="45"/>
  <c r="N14" i="45"/>
  <c r="L14" i="45"/>
  <c r="K14" i="45"/>
  <c r="O14" i="45"/>
  <c r="M9" i="45"/>
  <c r="J9" i="45"/>
  <c r="N9" i="45"/>
  <c r="P9" i="45"/>
  <c r="K9" i="45"/>
  <c r="O9" i="45"/>
  <c r="L9" i="45"/>
  <c r="L5" i="45"/>
  <c r="P5" i="45"/>
  <c r="M5" i="45"/>
  <c r="O5" i="45"/>
  <c r="J5" i="45"/>
  <c r="N5" i="45"/>
  <c r="K5" i="45"/>
  <c r="K18" i="45"/>
  <c r="O18" i="45"/>
  <c r="L18" i="45"/>
  <c r="P18" i="45"/>
  <c r="J18" i="45"/>
  <c r="N18" i="45"/>
  <c r="M18" i="45"/>
  <c r="K13" i="45"/>
  <c r="O13" i="45"/>
  <c r="L13" i="45"/>
  <c r="P13" i="45"/>
  <c r="J13" i="45"/>
  <c r="M13" i="45"/>
  <c r="N13" i="45"/>
  <c r="L8" i="45"/>
  <c r="P8" i="45"/>
  <c r="M8" i="45"/>
  <c r="J8" i="45"/>
  <c r="K8" i="45"/>
  <c r="N8" i="45"/>
  <c r="O8" i="45"/>
  <c r="J16" i="45"/>
  <c r="N16" i="45"/>
  <c r="K16" i="45"/>
  <c r="O16" i="45"/>
  <c r="L16" i="45"/>
  <c r="P16" i="45"/>
  <c r="M16" i="45"/>
  <c r="N12" i="45"/>
  <c r="J12" i="45"/>
  <c r="O12" i="45"/>
  <c r="M12" i="45"/>
  <c r="K12" i="45"/>
  <c r="P12" i="45"/>
  <c r="L12" i="45"/>
  <c r="M6" i="45"/>
  <c r="J6" i="45"/>
  <c r="N6" i="45"/>
  <c r="L6" i="45"/>
  <c r="K6" i="45"/>
  <c r="O6" i="45"/>
  <c r="P6" i="45"/>
  <c r="N11" i="45"/>
  <c r="M11" i="45"/>
  <c r="K11" i="45"/>
  <c r="O11" i="45"/>
  <c r="L11" i="45"/>
  <c r="P11" i="45"/>
  <c r="J11" i="45"/>
  <c r="O4" i="45"/>
  <c r="K4" i="45"/>
  <c r="N4" i="45"/>
  <c r="J4" i="45"/>
  <c r="M4" i="45"/>
  <c r="P4" i="45"/>
  <c r="L4" i="45"/>
  <c r="L17" i="45"/>
  <c r="P17" i="45"/>
  <c r="M17" i="45"/>
  <c r="J17" i="45"/>
  <c r="N17" i="45"/>
  <c r="K17" i="45"/>
  <c r="O17" i="45"/>
  <c r="J19" i="45"/>
  <c r="N19" i="45"/>
  <c r="K19" i="45"/>
  <c r="O19" i="45"/>
  <c r="L19" i="45"/>
  <c r="P19" i="45"/>
  <c r="M19" i="45"/>
  <c r="J20" i="45" l="1"/>
  <c r="O20" i="45"/>
  <c r="M20" i="45"/>
  <c r="K20" i="45"/>
  <c r="P20" i="45"/>
  <c r="N20" i="45"/>
  <c r="L20" i="45"/>
  <c r="K24" i="45" l="1"/>
  <c r="L24" i="45"/>
  <c r="M24" i="45"/>
  <c r="N24" i="45"/>
  <c r="O24" i="45"/>
  <c r="P24" i="45"/>
  <c r="J24" i="45"/>
  <c r="J25" i="45" l="1"/>
  <c r="M25" i="45"/>
  <c r="N25" i="45"/>
  <c r="L25" i="45"/>
  <c r="O25" i="45"/>
  <c r="K25" i="45"/>
  <c r="P25" i="45"/>
  <c r="C30" i="45" l="1"/>
  <c r="I24" i="45" s="1"/>
  <c r="I25" i="45" l="1"/>
  <c r="F28" i="55"/>
  <c r="F31" i="55" s="1"/>
  <c r="F32" i="55" s="1"/>
  <c r="I28" i="55"/>
  <c r="I29" i="55" s="1"/>
  <c r="I31" i="55"/>
  <c r="I34" i="56" s="1"/>
  <c r="I36" i="56" s="1"/>
  <c r="I39" i="56" s="1"/>
  <c r="L28" i="55"/>
  <c r="L29" i="55" s="1"/>
  <c r="K28" i="55"/>
  <c r="K31" i="55" s="1"/>
  <c r="J28" i="55"/>
  <c r="J31" i="55" s="1"/>
  <c r="D28" i="55"/>
  <c r="D29" i="55" s="1"/>
  <c r="H28" i="55"/>
  <c r="H29" i="55" s="1"/>
  <c r="G28" i="55"/>
  <c r="G31" i="55" s="1"/>
  <c r="G51" i="55" s="1"/>
  <c r="L31" i="55" l="1"/>
  <c r="F29" i="55"/>
  <c r="D31" i="55"/>
  <c r="D51" i="55" s="1"/>
  <c r="H31" i="55"/>
  <c r="G29" i="55"/>
  <c r="J29" i="55"/>
  <c r="K29" i="55"/>
  <c r="K32" i="55"/>
  <c r="K51" i="55"/>
  <c r="K52" i="55"/>
  <c r="K53" i="55" s="1"/>
  <c r="K50" i="55"/>
  <c r="K34" i="56"/>
  <c r="K36" i="56" s="1"/>
  <c r="K39" i="56" s="1"/>
  <c r="J52" i="55"/>
  <c r="J53" i="55" s="1"/>
  <c r="J32" i="55"/>
  <c r="J51" i="55"/>
  <c r="J50" i="55"/>
  <c r="J34" i="56"/>
  <c r="J36" i="56" s="1"/>
  <c r="J39" i="56" s="1"/>
  <c r="I52" i="55"/>
  <c r="I53" i="55" s="1"/>
  <c r="F51" i="55"/>
  <c r="F50" i="55"/>
  <c r="G32" i="55"/>
  <c r="L34" i="56"/>
  <c r="L36" i="56" s="1"/>
  <c r="L39" i="56" s="1"/>
  <c r="F34" i="56"/>
  <c r="G52" i="55"/>
  <c r="G53" i="55" s="1"/>
  <c r="L32" i="55"/>
  <c r="I50" i="55"/>
  <c r="L50" i="55"/>
  <c r="D52" i="55"/>
  <c r="D53" i="55" s="1"/>
  <c r="I32" i="55"/>
  <c r="H52" i="55"/>
  <c r="H53" i="55" s="1"/>
  <c r="G34" i="56"/>
  <c r="G36" i="56" s="1"/>
  <c r="G39" i="56" s="1"/>
  <c r="E38" i="56"/>
  <c r="G50" i="55"/>
  <c r="I51" i="55"/>
  <c r="F52" i="55"/>
  <c r="F53" i="55" s="1"/>
  <c r="H34" i="56"/>
  <c r="H36" i="56" s="1"/>
  <c r="H39" i="56" s="1"/>
  <c r="F36" i="56" l="1"/>
  <c r="F39" i="56" s="1"/>
  <c r="L52" i="55"/>
  <c r="L53" i="55" s="1"/>
  <c r="L51" i="55"/>
  <c r="H51" i="55"/>
  <c r="H50" i="55"/>
  <c r="H32" i="55"/>
  <c r="D32" i="55"/>
  <c r="D50" i="55"/>
  <c r="D36" i="56"/>
  <c r="E39" i="56"/>
  <c r="E52" i="55" l="1"/>
  <c r="E53" i="55" s="1"/>
  <c r="D56" i="55"/>
  <c r="D39" i="5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Ecovidi</author>
    <author>Katarzyna Bryzek</author>
  </authors>
  <commentList>
    <comment ref="S2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W przypadku kolektorów słonecznych i paneli fotowoltaicznych - powierzchnia [m2], w przypadku pozostałych OZE moc [kW]</t>
        </r>
      </text>
    </comment>
    <comment ref="H24" authorId="1" shapeId="0" xr:uid="{00000000-0006-0000-0400-000002000000}">
      <text>
        <r>
          <rPr>
            <b/>
            <sz val="6"/>
            <color indexed="81"/>
            <rFont val="Tahoma"/>
            <family val="2"/>
            <charset val="238"/>
          </rPr>
          <t>Katarzyna Bryzek:</t>
        </r>
        <r>
          <rPr>
            <sz val="6"/>
            <color indexed="81"/>
            <rFont val="Tahoma"/>
            <family val="2"/>
            <charset val="238"/>
          </rPr>
          <t xml:space="preserve">
Błednie policzony efekt: Błędnym jest zmiana wskaźników dla inwestycji, które nie zostały zmodernizowane a następnie odejmować to samo w stosunku do roku bazowego. Należy uwzględnić tylko te budynki, w których przeprowadzono termomodernizację w latach 2016-2020 r. i dla nich określić efekt ekologiczny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  <author>Ecovidi</author>
  </authors>
  <commentList>
    <comment ref="C5" authorId="0" shapeId="0" xr:uid="{4A1D6E21-0F47-4B39-A440-51B6016208CE}">
      <text>
        <r>
          <rPr>
            <b/>
            <sz val="9"/>
            <color indexed="81"/>
            <rFont val="Tahoma"/>
            <family val="2"/>
            <charset val="238"/>
          </rPr>
          <t>Ecovidi: Proszę zapoznać się z komentarzami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O8" authorId="1" shapeId="0" xr:uid="{00000000-0006-0000-1700-000002000000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Przyjeto produkcje energii elektrycznej z 1 kWp - 1 MWh/rok (uśrednionie dane na podstawie stron internetowych producentów instalacji fotowoltaicznych)</t>
        </r>
      </text>
    </comment>
    <comment ref="D23" authorId="0" shapeId="0" xr:uid="{0AC8991D-B5BC-44DC-978D-5EF877B689B1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Zadanie zrealizowano w 100%</t>
        </r>
      </text>
    </comment>
    <comment ref="O37" authorId="1" shapeId="0" xr:uid="{425E451E-9E89-490A-9AC1-5524CF622915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Kolektory - m2,  [w przyp. gdy nie ma podanej powierzchni liczy: zainstalowana moc/0,8 gdzie 0,8 uśredniona moc przyp. na 1 m2 zainstalowanych kolektorów]</t>
        </r>
      </text>
    </comment>
    <comment ref="P37" authorId="1" shapeId="0" xr:uid="{9111F3D9-78A1-46A9-BB22-81B7F4CDCEA9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ilość energi wyprodukowanej przez kolektory - przyjęto uzysk energii cieplnej z 1m2 powierzchni kolektora 525 kWh/rok
</t>
        </r>
      </text>
    </comment>
    <comment ref="Q37" authorId="1" shapeId="0" xr:uid="{A7DAB0A2-2480-4EF3-AF8C-805C8D405A5B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Założono, że energia z kolektora zastępuje energię z węgla - kocioł pozaklasowy</t>
        </r>
      </text>
    </comment>
    <comment ref="O38" authorId="0" shapeId="0" xr:uid="{C01243E4-650C-4B04-9244-C837C635DD3D}">
      <text>
        <r>
          <rPr>
            <b/>
            <sz val="9"/>
            <color indexed="81"/>
            <rFont val="Tahoma"/>
            <family val="2"/>
            <charset val="238"/>
          </rPr>
          <t>Ecovidi: zainstalowana moc pomp ciepła</t>
        </r>
      </text>
    </comment>
    <comment ref="P38" authorId="1" shapeId="0" xr:uid="{DE910A3B-8D6D-4BE8-8C10-A2349F27F09B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Przy założeniu produkcji energii z 1 kWp - 1,25 MWh/rok (na podstawie uśrednionych danych producentów PC)</t>
        </r>
      </text>
    </comment>
    <comment ref="Q38" authorId="1" shapeId="0" xr:uid="{B3FF80B8-7AB4-4074-848E-2F593E0924B9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Założono, że energia z PC zastępuje energię z węgla - kocioł pozaklasowy</t>
        </r>
      </text>
    </comment>
    <comment ref="O39" authorId="0" shapeId="0" xr:uid="{EBDFAA84-7B21-4CF7-B634-2BC454FB135A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Lączna moc instalacji kWp</t>
        </r>
      </text>
    </comment>
    <comment ref="P39" authorId="1" shapeId="0" xr:uid="{2D2F3FC2-0D55-456B-BCE2-A1EC297D4826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Przy założeniu produkcji energii z 1 kWp - 1 MWh/rok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Ecovidi</author>
    <author>a</author>
  </authors>
  <commentList>
    <comment ref="AQ8" authorId="0" shapeId="0" xr:uid="{A81CB550-AAAA-41DE-9CF3-FAE1FC4F5E6B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Przyjęto uzysk energii cieplnej z 1m2 powierzchni kolektora 520 kWh/rok
</t>
        </r>
      </text>
    </comment>
    <comment ref="AZ8" authorId="0" shapeId="0" xr:uid="{5904682B-800E-4A4E-B453-C2AA56DE24D0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Przyjeto produkcje energii elektrycznej z 1 kWp - 1 MWh/rok (uśrednionie dane na podstawie stron internetowych producentów instalacji fotowoltaicznych)</t>
        </r>
      </text>
    </comment>
    <comment ref="AS11" authorId="0" shapeId="0" xr:uid="{76BB49BB-C2CC-4BC0-A307-989B8477412D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Założono: uśredniona emisja dla 1 GJ zużytej energii w sektorze dla każdej substancji</t>
        </r>
      </text>
    </comment>
    <comment ref="P24" authorId="0" shapeId="0" xr:uid="{85773968-2D39-47B2-BB00-767F4D528442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Przy założeniu produkcji energii z 1 kW - 1,25 MWh/rok (na podstawie uśrednionych danych producentów PC)</t>
        </r>
      </text>
    </comment>
    <comment ref="Q24" authorId="0" shapeId="0" xr:uid="{38557182-3C76-4435-9483-782299C9EEFD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Założono, że energia z kolektora zastępuje energię z węgla - kocioł pozaklasowy</t>
        </r>
      </text>
    </comment>
    <comment ref="O25" authorId="0" shapeId="0" xr:uid="{59E52F10-20C9-4F0E-AAE9-062420A7FB66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moc [kW]</t>
        </r>
      </text>
    </comment>
    <comment ref="P25" authorId="0" shapeId="0" xr:uid="{209DCFCB-94DC-48F1-B3D9-4A6E0B64C34A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Przy założeniu produkcji energii z 1 kWp - 1 MWh/rok</t>
        </r>
      </text>
    </comment>
    <comment ref="O26" authorId="0" shapeId="0" xr:uid="{0F3E78D9-7B6F-48B2-A0C7-FD018BF5CFC1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Kolektory - m2
</t>
        </r>
      </text>
    </comment>
    <comment ref="P26" authorId="0" shapeId="0" xr:uid="{A5DB4593-659E-4D96-A182-0D945F040515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ilość energi wyprodukowanej przez kolektory - przyjęto uzysk energii cieplnej z 1m2 powierzchni kolektora 525 kWh/rok
</t>
        </r>
      </text>
    </comment>
    <comment ref="Q26" authorId="0" shapeId="0" xr:uid="{0609F4F6-AF99-4794-941F-B52D6231B805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Założono, że energia z kolektora zastępuje energię z węgla - kocioł pozaklasowy</t>
        </r>
      </text>
    </comment>
    <comment ref="P31" authorId="1" shapeId="0" xr:uid="{4ECD32DC-5C0D-485F-94FF-ACF7852FD450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Na podstawie kasiążki"Audyt energetyczny na potrzeby termomodernizacji oraz oceny energetycznej budynków" praca zbiorowa pod redakcją Adama Tabora, Politechnika Krakowska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Ecovidi</author>
    <author>Piotr Stańczuk</author>
    <author>Autor</author>
    <author>a</author>
  </authors>
  <commentList>
    <comment ref="AQ4" authorId="0" shapeId="0" xr:uid="{3C91F5B1-DFDA-4E6A-85A4-A026AE872DD9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Przyjęto uzysk energii cieplnej z 1m2 powierzchni kolektora 520 kWh/rok
</t>
        </r>
      </text>
    </comment>
    <comment ref="AZ4" authorId="0" shapeId="0" xr:uid="{EEC5954C-EE17-4F20-8DAD-74CF162AF74B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Przyjeto produkcje energii elektrycznej z 1 kWp - 1 MWh/rok (uśrednionie dane na podstawie stron internetowych producentów instalacji fotowoltaicznych)</t>
        </r>
      </text>
    </comment>
    <comment ref="P7" authorId="1" shapeId="0" xr:uid="{5AA7F1B7-1E0C-418F-A29D-1D92CDE04834}">
      <text>
        <r>
          <rPr>
            <b/>
            <sz val="9"/>
            <color indexed="81"/>
            <rFont val="Tahoma"/>
            <family val="2"/>
            <charset val="238"/>
          </rPr>
          <t>Piotr Stańczuk:</t>
        </r>
        <r>
          <rPr>
            <sz val="9"/>
            <color indexed="81"/>
            <rFont val="Tahoma"/>
            <family val="2"/>
            <charset val="238"/>
          </rPr>
          <t xml:space="preserve">
Lączne zużycie energii cieplnej i elektrycznej w budynkach gminnych na podst. Gminnej Startegii transformacji energetycznej  [MWh]</t>
        </r>
      </text>
    </comment>
    <comment ref="Q7" authorId="1" shapeId="0" xr:uid="{DABC30DD-181B-443C-B7F9-57457DEEA37D}">
      <text>
        <r>
          <rPr>
            <b/>
            <sz val="9"/>
            <color indexed="81"/>
            <rFont val="Tahoma"/>
            <family val="2"/>
            <charset val="238"/>
          </rPr>
          <t>Piotr Stańczuk:</t>
        </r>
        <r>
          <rPr>
            <sz val="9"/>
            <color indexed="81"/>
            <rFont val="Tahoma"/>
            <family val="2"/>
            <charset val="238"/>
          </rPr>
          <t xml:space="preserve">
Lączne emisja zanieczyszczeń z energii cieplnej i elektrycznej w budynkach gminnych na podst. Gminnej Startegii transformacji energetycznej. </t>
        </r>
      </text>
    </comment>
    <comment ref="AS8" authorId="0" shapeId="0" xr:uid="{736FDF2F-E772-49EA-9336-63EBFF08F9D0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Założono: uśredniona emisja dla 1 GJ zużytej energii w sektorze dla każdej substancji</t>
        </r>
      </text>
    </comment>
    <comment ref="AS9" authorId="0" shapeId="0" xr:uid="{C25C5F4E-E488-4A9F-9473-E4AA5971CA74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Założono: uśredniona emisja dla 1 GJ zużytej energii w sektorze dla każdej substancji</t>
        </r>
      </text>
    </comment>
    <comment ref="O19" authorId="1" shapeId="0" xr:uid="{A30A12D7-F5AD-4308-B38C-E6834AE71132}">
      <text>
        <r>
          <rPr>
            <b/>
            <sz val="9"/>
            <color indexed="81"/>
            <rFont val="Tahoma"/>
            <family val="2"/>
            <charset val="238"/>
          </rPr>
          <t>Piotr Stańczuk:</t>
        </r>
        <r>
          <rPr>
            <sz val="9"/>
            <color indexed="81"/>
            <rFont val="Tahoma"/>
            <family val="2"/>
            <charset val="238"/>
          </rPr>
          <t xml:space="preserve">
moc zainstalowanych PC</t>
        </r>
      </text>
    </comment>
    <comment ref="P19" authorId="0" shapeId="0" xr:uid="{6F01954C-2DCE-40AC-BF25-1B309DD65924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Przy założeniu produkcji energii z 1 kW - 1,25 MWh/rok (na podstawie uśrednionych danych producentów PC)</t>
        </r>
      </text>
    </comment>
    <comment ref="X19" authorId="2" shapeId="0" xr:uid="{F7FC3DDF-C2B5-4DDE-8827-1A844724C726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Założno wskaźnik COP dla PC 4,3 (norma PN-EN 14511)</t>
        </r>
      </text>
    </comment>
    <comment ref="O20" authorId="0" shapeId="0" xr:uid="{12E756EE-DD34-4712-8CA1-FC92885413D0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moc [kW]</t>
        </r>
      </text>
    </comment>
    <comment ref="P20" authorId="0" shapeId="0" xr:uid="{E3AD52C0-C34E-4DDB-BBED-BAD3BC65346F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Przy założeniu produkcji energii z 1 kWp - 1 MWh/rok</t>
        </r>
      </text>
    </comment>
    <comment ref="O21" authorId="0" shapeId="0" xr:uid="{FAF51281-C278-4D7E-AA07-901B14513D4F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Kolektory - m2
</t>
        </r>
      </text>
    </comment>
    <comment ref="P21" authorId="0" shapeId="0" xr:uid="{F3824E78-4BAF-4F3F-AF6E-6B3D8A82B1D5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ilość energi wyprodukowanej przez kolektory - przyjęto uzysk energii cieplnej z 1m2 powierzchni kolektora 525 kWh/rok
</t>
        </r>
      </text>
    </comment>
    <comment ref="Q21" authorId="0" shapeId="0" xr:uid="{37DD9DAC-E4D1-4D0C-9717-1436039FA585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Założono, że energia z kolektora zastępuje energię z węgla - kocioł pozaklasowy</t>
        </r>
      </text>
    </comment>
    <comment ref="P26" authorId="3" shapeId="0" xr:uid="{47B14B1F-8833-4D9B-B511-0857B7303B04}">
      <text>
        <r>
          <rPr>
            <b/>
            <sz val="9"/>
            <color indexed="81"/>
            <rFont val="Tahoma"/>
            <family val="2"/>
            <charset val="238"/>
          </rPr>
          <t>Ecovidi:</t>
        </r>
        <r>
          <rPr>
            <sz val="9"/>
            <color indexed="81"/>
            <rFont val="Tahoma"/>
            <family val="2"/>
            <charset val="238"/>
          </rPr>
          <t xml:space="preserve">
Na podstawie kasiążki"Audyt energetyczny na potrzeby termomodernizacji oraz oceny energetycznej budynków" praca zbiorowa pod redakcją Adama Tabora, Politechnika Krakowska</t>
        </r>
      </text>
    </comment>
  </commentList>
</comments>
</file>

<file path=xl/sharedStrings.xml><?xml version="1.0" encoding="utf-8"?>
<sst xmlns="http://schemas.openxmlformats.org/spreadsheetml/2006/main" count="564" uniqueCount="239">
  <si>
    <t>biomasa</t>
  </si>
  <si>
    <t>kolektory słoneczne</t>
  </si>
  <si>
    <t>Lp</t>
  </si>
  <si>
    <t>olej opałowy</t>
  </si>
  <si>
    <t>węgiel</t>
  </si>
  <si>
    <t>Rok budowy</t>
  </si>
  <si>
    <t>Źródło ciepła</t>
  </si>
  <si>
    <t>gaz</t>
  </si>
  <si>
    <t>Ilość zużywanego nośnika rocznie [Mg] w przyp. gazu i oleju [m3]</t>
  </si>
  <si>
    <t>brak</t>
  </si>
  <si>
    <t>kompletna</t>
  </si>
  <si>
    <t>częściowa</t>
  </si>
  <si>
    <t>PM 10</t>
  </si>
  <si>
    <t>PM 2,5</t>
  </si>
  <si>
    <t>BaP</t>
  </si>
  <si>
    <t>CO</t>
  </si>
  <si>
    <t>ogniwa fotowoltaiczne</t>
  </si>
  <si>
    <t>-</t>
  </si>
  <si>
    <t>CO2</t>
  </si>
  <si>
    <t>NOx</t>
  </si>
  <si>
    <t xml:space="preserve">Zużycie energii elektr. łącznie [MWh/rok]              </t>
  </si>
  <si>
    <t>Suma:</t>
  </si>
  <si>
    <t>SO2</t>
  </si>
  <si>
    <t>Ocieplenie ścian</t>
  </si>
  <si>
    <t>SUMA:</t>
  </si>
  <si>
    <t>energia el.</t>
  </si>
  <si>
    <t>Ogrzewanie olejowe</t>
  </si>
  <si>
    <t>Ogrzewanie gazowe</t>
  </si>
  <si>
    <t>Ogrzewanie elektryczne</t>
  </si>
  <si>
    <t>Miejska sieć ciepłownicza</t>
  </si>
  <si>
    <t>zasilanie ręczne kotły pozaklasowe</t>
  </si>
  <si>
    <t>zasilanie automatyczne kotły - Ecodesign</t>
  </si>
  <si>
    <t>zasilanie automatyczne kotły - klasa 4</t>
  </si>
  <si>
    <t>2</t>
  </si>
  <si>
    <t>Indywidualny piec C.O., Paliwo - Węgiel</t>
  </si>
  <si>
    <t>Niekreślony typ pieca, Paliwo - gaz,olej opałowy oraz ogrzewanie elektryczne i sieciowe</t>
  </si>
  <si>
    <t>PM10 [g / GJ]</t>
  </si>
  <si>
    <t>PM2,5 [g / GJ]</t>
  </si>
  <si>
    <t>CO2 [g / GJ]</t>
  </si>
  <si>
    <t>BaP [g / GJ]</t>
  </si>
  <si>
    <t>SO2 [g / GJ]</t>
  </si>
  <si>
    <t>Nox [g / GJ]</t>
  </si>
  <si>
    <t>CO [g / GJ]</t>
  </si>
  <si>
    <t>zasilanie automatyczne kotły pozaklasowe</t>
  </si>
  <si>
    <t>Indywidualny piec C.O., Paliwo - Biomasa/Drewno</t>
  </si>
  <si>
    <t>CO2 [Mg / MWh]</t>
  </si>
  <si>
    <t>Zużycie energii na co i cwu [GJ]</t>
  </si>
  <si>
    <t>Nazwa budynku, adres</t>
  </si>
  <si>
    <t>Termomodernizacja</t>
  </si>
  <si>
    <t>Zużycie energii cieplnej, końcowej [GJ/rok]</t>
  </si>
  <si>
    <t>OZE</t>
  </si>
  <si>
    <t>Dane dot. OZE</t>
  </si>
  <si>
    <t>pompy ciepła</t>
  </si>
  <si>
    <t>Budynek Urzędu Gminy, budynek OSP - dzierżawiony przez Gminę</t>
  </si>
  <si>
    <t>Gminna Biblioteka Publiczna w Bystrej Podhalańskiej, GminnyOśrodek Pomocy Społecznej</t>
  </si>
  <si>
    <t>Przedszkole Publiczne w Bystrej Podh.</t>
  </si>
  <si>
    <t>Przedszkole Publiczne w Sidzinie</t>
  </si>
  <si>
    <t>Zespół Szkół im. Dzieci Zamojszczyzny w Sidzinie</t>
  </si>
  <si>
    <t>Dom Nauczyciela Sidzina</t>
  </si>
  <si>
    <t>Zespół Szkół im. św. Jana Kantego w Bystrej Podh.</t>
  </si>
  <si>
    <t>GMINNY OŚRODEK KULTURY PROMOCJI TURYSTYKI I SPORTU BYSTRA-SIDZINA W SIDZINIE, OSP w Sidzinie</t>
  </si>
  <si>
    <t>SKANSEN W SIDZINIE- MUZEUM KULTURY LUDOWEJ</t>
  </si>
  <si>
    <t>Ośrodek Zdrowia  w Sidzinie</t>
  </si>
  <si>
    <t>Ośrodek Zdrowia w Bystrej Podhalańskiej,  Niepubliczny Zakład Opieki Zdrowotnej "MEDICUS KULKA HOLDING"- Budynek Mienia komunalnego</t>
  </si>
  <si>
    <t>Budynek mieszkalny nr 636 Sidzina</t>
  </si>
  <si>
    <t>budynek socjalny nr 449 Bystra</t>
  </si>
  <si>
    <t>budynek socjalny nr 449A</t>
  </si>
  <si>
    <t>Bud.magazynu bez numeru-wynajmowany</t>
  </si>
  <si>
    <t>Zuzycie technologiczne (wod-kan)</t>
  </si>
  <si>
    <t>Typ kotła</t>
  </si>
  <si>
    <t>PM 10 [Mg/rok]</t>
  </si>
  <si>
    <t>PM 2,5 [Mg/rok]</t>
  </si>
  <si>
    <t>CO2 [Mg/rok]</t>
  </si>
  <si>
    <t>BaP [Mg/rok]</t>
  </si>
  <si>
    <t>S02 [Mg/rok]</t>
  </si>
  <si>
    <t>N0x [Mg/rok]</t>
  </si>
  <si>
    <t>CO [Mg/rok]</t>
  </si>
  <si>
    <t>Wskaźniki ilościowe dla poszczególnych działań w gminie</t>
  </si>
  <si>
    <t>Działania termomodernizacyjne - obniżenie zużycia energii dla poszczególnych zabiegów termomodernizacyjnych</t>
  </si>
  <si>
    <t>L.p.</t>
  </si>
  <si>
    <t xml:space="preserve">Nazwa działania / Poddziałania </t>
  </si>
  <si>
    <t>Energia końcowa uniknięta  [GJ/rok]</t>
  </si>
  <si>
    <t>Produkcja energii z OŹE  [GJ/rok]</t>
  </si>
  <si>
    <t>Redukcja emisji zanieczyszczeń   [Mg/rok]</t>
  </si>
  <si>
    <t>Emisja emisji zanieczyszczeń przed wymianą  [Mg/rok]</t>
  </si>
  <si>
    <t>Ocieplenie stropu/dachu</t>
  </si>
  <si>
    <t>strop nad piwnicą</t>
  </si>
  <si>
    <t>wymiana okien i drzwi</t>
  </si>
  <si>
    <t>Automatyka pogodowa i urządzenia regulacyjne</t>
  </si>
  <si>
    <t>kompleksowa modenizacja inst. co. I cwu</t>
  </si>
  <si>
    <t>Wymiana kotła (wzrost sprawności)</t>
  </si>
  <si>
    <t>Łączne obniżenie zużycia energii</t>
  </si>
  <si>
    <t>Wartość przez ktorą należy pomnożyć zużycie energii przed termomodernizacją</t>
  </si>
  <si>
    <t>5-15%</t>
  </si>
  <si>
    <t>10-20%</t>
  </si>
  <si>
    <t>2-5%</t>
  </si>
  <si>
    <t>10-15%</t>
  </si>
  <si>
    <t>10-50%</t>
  </si>
  <si>
    <t>Działanie 1. Ograniczenie zużycia energii i wytwarzanie energii z odnawialnych źródeł - budynki i infrastruktura publiczna.</t>
  </si>
  <si>
    <t>Działanie 1 Razem</t>
  </si>
  <si>
    <t>Emisja emisji zanieczyszczeń po wymianie   [Mg/rok]</t>
  </si>
  <si>
    <t xml:space="preserve">DZIAŁANIE 3. Ograniczenie emisji pyłów i wytwarzanie energii z odnawialnych źródeł - budownictwo mieszkaniowe
</t>
  </si>
  <si>
    <t>Uśrednione zużycie w GJ/rok w 1 gospodarstwie w gminie</t>
  </si>
  <si>
    <t>Uśrednione zużycie w GJ/rok dla wszystkich inwestycji po wymianie</t>
  </si>
  <si>
    <t xml:space="preserve">Wskaźniki ilościowe i jakościowe w odniesieniu do wartości całkowitych w gminie </t>
  </si>
  <si>
    <t>Zakres</t>
  </si>
  <si>
    <t xml:space="preserve">Energia końcowa  w gminie łącznie [GJ/rok] </t>
  </si>
  <si>
    <t>Produkcja energii z OŹE w gminie łącznie [GJ/rok]</t>
  </si>
  <si>
    <t>Emisja zanieczyszczeń  [Mg/rok]</t>
  </si>
  <si>
    <t>Wartości w roku bazowym</t>
  </si>
  <si>
    <t>Różnica - efekt ekologiczny</t>
  </si>
  <si>
    <t>Uśrednione zużycie w GJ/rok po termomod.</t>
  </si>
  <si>
    <t>Charakterystyka sektora gminnego pod kątem wpływu zabiegów termomodernizacyjnych na zużycie energii i emisję zanieczyszczeń do roku 2020</t>
  </si>
  <si>
    <t>Działanie 2. Ograniczenie zużycia energii -  transport.</t>
  </si>
  <si>
    <t xml:space="preserve">LEGENDA: </t>
  </si>
  <si>
    <t>Wartości w sektorze wg PGN 2016-2020</t>
  </si>
  <si>
    <t>Rzeczywisty efekt ekologiczny -  rok 2020</t>
  </si>
  <si>
    <t>Wartość osiągnięta [%]</t>
  </si>
  <si>
    <t>węglowy - Ecodesign</t>
  </si>
  <si>
    <t xml:space="preserve"> - uśrednione zużycie w GJ/rok w 1 gospodarstwie w gminie</t>
  </si>
  <si>
    <t>Całkowity efekt ekologiczny założony</t>
  </si>
  <si>
    <t>Wartości w roku 2020 (założone)</t>
  </si>
  <si>
    <t>Redukcja [%] w roku 2020 w stosunku do wartości całkowitych w gminie w roku bazowym (w przypadku OŹE - wzrost). Wartości założone.</t>
  </si>
  <si>
    <t>Podsumowanie rok 2020:</t>
  </si>
  <si>
    <t>na biomasę - Ecodesign</t>
  </si>
  <si>
    <t>Zużycie energii w danym budynku przed termomodernizacją w roku bazowym</t>
  </si>
  <si>
    <t>CEL OSIĄGNIĘTY W 2020</t>
  </si>
  <si>
    <r>
      <t>Powierzchnia
ogrzewana  (m</t>
    </r>
    <r>
      <rPr>
        <vertAlign val="superscript"/>
        <sz val="11"/>
        <color theme="1"/>
        <rFont val="Czcionka tekstu podstawowego"/>
        <family val="2"/>
        <charset val="238"/>
      </rPr>
      <t>2</t>
    </r>
    <r>
      <rPr>
        <sz val="11"/>
        <color theme="1"/>
        <rFont val="Czcionka tekstu podstawowego"/>
        <family val="2"/>
        <charset val="238"/>
      </rPr>
      <t xml:space="preserve">)
</t>
    </r>
    <r>
      <rPr>
        <sz val="8"/>
        <color theme="1"/>
        <rFont val="Czcionka tekstu podstawowego"/>
        <family val="2"/>
        <charset val="238"/>
      </rPr>
      <t/>
    </r>
  </si>
  <si>
    <t>Uniknięta emisja CO2 dla fotowoltaiki [Mg/rok]</t>
  </si>
  <si>
    <t>Ftowoltaika - moc [kWp]</t>
  </si>
  <si>
    <t>Wartość zrealizowana w stosunku do zaplanowanej [%]</t>
  </si>
  <si>
    <t>Wartość osiągnięta na podstawie zrealizowanych działań - 2016-2020</t>
  </si>
  <si>
    <t>Efekt ekologiczny 2021-2024</t>
  </si>
  <si>
    <t>fotowoltaika</t>
  </si>
  <si>
    <t>Stopień osiągnięcia efektów ekologicznych do roku 2020</t>
  </si>
  <si>
    <t>kocioł na olej opałowy</t>
  </si>
  <si>
    <t>na gaz</t>
  </si>
  <si>
    <t>OBLICZENIA:</t>
  </si>
  <si>
    <t>Wymiana kotłów węglowych pozaklasowych kotły na węglowe Ecodesign</t>
  </si>
  <si>
    <t>Wymiana kotłów węglowych pozaklasowych kotły na biomasowe Ecodesign</t>
  </si>
  <si>
    <t>Wymiana kotłów węglowych pozaklasowych  kotły na gazowe</t>
  </si>
  <si>
    <t>instalacja centralnego ogrzewania - Czyste powietrze</t>
  </si>
  <si>
    <t>docieplenie przegród - Czyste powietrze</t>
  </si>
  <si>
    <t>stolarka okienna - Czyste powietrze</t>
  </si>
  <si>
    <t>Likwidacja kotłów węglowych pozaklasowych i montaż pomp ciepła</t>
  </si>
  <si>
    <t>Montaz fotowoltaiki</t>
  </si>
  <si>
    <t>Montaz kolektorów słonecznych</t>
  </si>
  <si>
    <t>Montaż OŹE</t>
  </si>
  <si>
    <t>Kolektory słoneczne [m2]</t>
  </si>
  <si>
    <t>Uniknięta emisja zanieczyszczeń [Mg/rok]</t>
  </si>
  <si>
    <t>Ilość inwestycji [szt], w przypadku OZE patrz komentarz</t>
  </si>
  <si>
    <t>Uśrednione zużycie w GJ/rok dla wszystkich inwestycji przed wymianą, w przypadku OZE patrz komentarz</t>
  </si>
  <si>
    <t>Źródło energii po wymianie/instalacji lub zakres</t>
  </si>
  <si>
    <t>Cel osiągnięty na podstawie zrealizowanych działań 2016-2020 (wagowo)</t>
  </si>
  <si>
    <t>Modernizacja budynków użyteczności publicznej wraz z modernizacją oświetlenia ulicznego</t>
  </si>
  <si>
    <t xml:space="preserve"> - ciemnoszarym kolorem zaznaczono wartości wyznaczone w PGN 2016-2023</t>
  </si>
  <si>
    <t xml:space="preserve"> - jasnoszarym kolorem zaznaczono działania w rzeczywistości zrealizowane  w latach 2016-2020 w tym pozaplanowe</t>
  </si>
  <si>
    <t xml:space="preserve"> - czerwonym trójkątem oznaczono komórki z komentarzami</t>
  </si>
  <si>
    <t>Termomodernizacja  z wymianą kotła (gaz)</t>
  </si>
  <si>
    <t>Całkowita wartość osiągnięta 2016-2020 [%]</t>
  </si>
  <si>
    <t>Efekt ekologiczny działań gminy w latach 2016-2020:</t>
  </si>
  <si>
    <t>Zintegrowana infrastruktura dla transportu niskoemisyjnego w mieście Tarnów i subregionie tarnowskim na terenie Gminy Radłów</t>
  </si>
  <si>
    <t xml:space="preserve">3.1. oraz 3.2 Redukcja emisji CO2 w Gminie Radłów poprzez wymianę źródeł ciepła w gospodarstwach domowych (paliwa stała, gaz) </t>
  </si>
  <si>
    <t>4.1 Instalacja paneli fotowoltaicznych w budynkach oraz 4.2 Program dotacji do kolektorów słonecznych</t>
  </si>
  <si>
    <t xml:space="preserve">Zespół Szkół w Radłowie - ocieplenie ścian zewnętrznych, ocieplenie ścian piwnic, docieplenie stropu ostatniej kondygnacji, regulacja hydrauliczna celem dostosowania pracy kotłowni do nowych warunków pracy.                                                                                                                          </t>
  </si>
  <si>
    <t xml:space="preserve">Zespół Szkolno - Przedszkolny w Biskupicach Radłowskich - docieplenie ścian, docieplenie i zaizolowanie ścian piwnicznych, docieplenie stropodachu, modernizacja instalacji c.o., modernizacja c.w.u.                                                             </t>
  </si>
  <si>
    <t>Szkoła Publiczna i Gimnazjum w Woli Radłowskiej - docieplenie ścian zewnętrznych, docieplenie stropodachu, wymiana drzwi, modernizacja instalacji c.o.</t>
  </si>
  <si>
    <t xml:space="preserve">Urząd Miejski w Radłowie - docieplenie ścian zewnętrznych piwnicznych, docieplenie ścian zewnętrznych, wymiana okien, wymiana drzwi, modernizacja instalacji c.o., rozprowadzenie przewodów c.w.u. z bateriami, montaż kotła kondensacyjnego.       </t>
  </si>
  <si>
    <t>Szkoła w Niwce, modernizacja kotłowni i instalacji grzewczej, częściowa wymiana stolarki okiennej i drzwiowej, docieplenie ścian zewnętrznych</t>
  </si>
  <si>
    <t>Fotowoltaika</t>
  </si>
  <si>
    <t>Szkoła w Zabawie, modernizacja kotłowni i instalacji grzewczej, częściowa wymiana stolarki okiennej i drzwiowej, docieplenie ścian zewnętrznych.</t>
  </si>
  <si>
    <t>Budynek ośrodka zdrowia w Radłowie - częściowa modernizacja kotłowni i instalacji grzewczej</t>
  </si>
  <si>
    <t>Działanie 1. Oszczędzamy na energii</t>
  </si>
  <si>
    <t xml:space="preserve">DZIAŁANIE 3. Wspieramy mieszkańców i przedsiębiorców w ograniczeniu niskiej emisji                                                                                                                                                  DZIAŁANIE 4. Zwiększamy wykorzystanie OŹE w gminie
</t>
  </si>
  <si>
    <t>Procent osiągnięcia celu (cel zrealizowany w stosunku do pierwotnie zaplanowanego) [%]</t>
  </si>
  <si>
    <t>Ilość inwestycji [szt] lub w przyp. OZE zainstalowana moc lub powierzchnia</t>
  </si>
  <si>
    <t>Uśrednione zużycie w GJ/rok dla wszystkich inwestycji przed wymianą w przyp. OZE patrz komentarz</t>
  </si>
  <si>
    <t>Uśrednione zużycie dla punktu świetlnego [MWh]</t>
  </si>
  <si>
    <t xml:space="preserve">Ilość punktów świetlnych do wymiany </t>
  </si>
  <si>
    <t>Szacowana oszczędność energii wymiana z sodowej na led</t>
  </si>
  <si>
    <t>Przyjęty procent oszczedności</t>
  </si>
  <si>
    <t>Zużycie energii elektrycznej dla punktów przed wymianą</t>
  </si>
  <si>
    <t>Efekt ekologiczny [MWh/rok]</t>
  </si>
  <si>
    <t xml:space="preserve"> 50%-80%</t>
  </si>
  <si>
    <t>Termomodernizacja budynku Zespołu Szkół w Zabawie</t>
  </si>
  <si>
    <t>Wymiana oświetlenia ulicznego</t>
  </si>
  <si>
    <t xml:space="preserve"> - ciemnoszarym kolorem zaznaczono wartości wyznaczone w PGN 2016-2024</t>
  </si>
  <si>
    <r>
      <t xml:space="preserve">Wartość osiągnięta w gminie  </t>
    </r>
    <r>
      <rPr>
        <b/>
        <strike/>
        <sz val="9"/>
        <color theme="1"/>
        <rFont val="Calibri"/>
        <family val="2"/>
        <charset val="238"/>
        <scheme val="minor"/>
      </rPr>
      <t xml:space="preserve">łącznie w roku bazowym z uwzględnieniem  </t>
    </r>
    <r>
      <rPr>
        <b/>
        <sz val="9"/>
        <color theme="1"/>
        <rFont val="Calibri"/>
        <family val="2"/>
        <charset val="238"/>
        <scheme val="minor"/>
      </rPr>
      <t>po</t>
    </r>
    <r>
      <rPr>
        <b/>
        <strike/>
        <sz val="9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 xml:space="preserve">zrealizowaniu działań 2016-2020 </t>
    </r>
  </si>
  <si>
    <t>Udział OZE w roku bazowym</t>
  </si>
  <si>
    <t>Udział OZE w roku 2020 (założony)</t>
  </si>
  <si>
    <t xml:space="preserve">Cel osiągnięty - redukcja w roku 2020 w stosunku do wartości całkowitych w gminie w roku bazowym (w przypadku OŹE - wzrost udziału)  [%] </t>
  </si>
  <si>
    <t>Planowany udział OZE w stosunku do energii łącznie roku 2024</t>
  </si>
  <si>
    <t>Wkażnik emisji dla energii elektrycznej z pierwotnej wersji PGN:</t>
  </si>
  <si>
    <t>Udział energii z OZE w całkowitym zużyciu energii w 2020</t>
  </si>
  <si>
    <t>Wzrost wykorzystania energii z OZE w stosunku do roku bazowego:</t>
  </si>
  <si>
    <t>Wskaźniki emisji dla poszczególnych rodzajów paliw i typów kotłów - NFOŚiGW Kawka</t>
  </si>
  <si>
    <t>NINIEJSZY AKRUSZ POPCHODZI Z PGN 2021-2024, POZOSTAŁ BEZ ZMIAN</t>
  </si>
  <si>
    <t xml:space="preserve"> - zielonym kolorem zaznaczono zadania zrealizowane</t>
  </si>
  <si>
    <t>Termomodernizacja …</t>
  </si>
  <si>
    <t xml:space="preserve"> - niebieską kursywą zaznaczono zmiany oraz tekst dopisany</t>
  </si>
  <si>
    <t>Zadanie zrealizowane dodatkowo. Termomodernizacja budynku Domu Ludowego w Sanoce. Docieplenie ścian zewnętrznych i stropodachu</t>
  </si>
  <si>
    <t>Wartość j.w. osiągnięta</t>
  </si>
  <si>
    <t>NINIEJSZY AKRUSZ POPCHODZI Z PGN 2021-2024, zmiany zostały zaznaczone jak w legendzie w wierszach 2,3,4</t>
  </si>
  <si>
    <t>Całkowity efekt ekologiczny w latach 2016-2030</t>
  </si>
  <si>
    <t xml:space="preserve"> - czerwonym kolorem zaznaczono zadania niezrealizowane</t>
  </si>
  <si>
    <t xml:space="preserve"> - ciemnoszarym kolorem zaznaczono wartości wyznaczone w pierwotnej wersji PGN</t>
  </si>
  <si>
    <t>Termomodernizacja budynku: Ośrodek Rehabilitacji w Wał-Rudzie. Ocieplenie ścian, stolarka drzwiowa i okienna - wymiana. Kocioł gazowy - bez wymiany.</t>
  </si>
  <si>
    <t>Termomodernizacja budynku: Dom Ludowy w Zdrochcu. Ocieplenie przegród zewnętrznych, stolarka drzwiowa i okienna - wymiana. Kocioł gazowy - wymiana na kondensacyjny wraz z modernizacją instalacji.</t>
  </si>
  <si>
    <t>Zadanie zrealizowane dodatkowo. Termomodernizacja budynku OSP w Przybysławicach. Docieplenie ścian zewnętrznych i stropu, kompleksowa modernizacja isntalacji co, montaż kotła gazowego kondens. Montaż instalacji PV o mocy 7,65 kW wraz z magazynem energii 10 kWh (PV wliczone niżej)</t>
  </si>
  <si>
    <t>Energia końcowa uniknięta  [MWh/rok]</t>
  </si>
  <si>
    <t>Produkcja energii z OŹE  [MWh/rok]</t>
  </si>
  <si>
    <t>Montaż paneli PV na: ZS w Radłowie (356 szt. x 0,45 kW) = 160,2 kW, SP w Zabawie (35 szt. x 0,45 kW = 15,75 kW), OSP Przybysławice (17 szt. x 0,45 kW = 7,65 kW), RPK w Radłowie (500 szt. x 0,45 = 225 kW) + RPK w Parku w Radłowie (540 x 0,45 kW = 243 kW). Łącznie 651 ,60 kW.</t>
  </si>
  <si>
    <t>Zarządzanie energią w budynkach użyteczności publicznej. Aplikacja monitorująca  zużycie energii w budynkach. Bez automatyki - szacunek oszczędności energii ok. 5%.</t>
  </si>
  <si>
    <t>Wymiana kotłów węglowych pozaklasowych kotły na biomasowe Ecodesign (50 szt. rocznie)</t>
  </si>
  <si>
    <t>Likwidacja kotłów  pozaklasowych i montaż pomp ciepła</t>
  </si>
  <si>
    <t>Roczna oszczędność energii</t>
  </si>
  <si>
    <t>Roczna produkcja energii z OZE</t>
  </si>
  <si>
    <t>Roczne zmniejszenie emisji [Mg/rok]</t>
  </si>
  <si>
    <t>[MWh]</t>
  </si>
  <si>
    <t>Cele zaplanowane wg pierw. wer. PGN do roku 2020 (wagowo)</t>
  </si>
  <si>
    <t>Cele zrealizowane do roku 2020 (wagowo)</t>
  </si>
  <si>
    <t>Cele zrealizowane do roku 2020 (procentowo)</t>
  </si>
  <si>
    <t xml:space="preserve">Energia końcowa  w gminie łącznie [MWh/rok] </t>
  </si>
  <si>
    <t>Wartość planowana  w gminie  łącznie w roku bazowym z uwzględnieniem zrealizowanych działań w latach 2016-2025</t>
  </si>
  <si>
    <t>Cel planowany (redukcja) do osiągnięcia  na podstawie realizacji działań 2016-2025 (wagowo)</t>
  </si>
  <si>
    <t>Cel planowany (redukcja) do osiągnięcia  na podstawie realizacji działań 2016-2030 (wagowo)</t>
  </si>
  <si>
    <t>Cele zrealizowane w latach 2021-2025  (wagowo)</t>
  </si>
  <si>
    <t>Cele zrealizowane w latach 2021-2025 (procentowo)</t>
  </si>
  <si>
    <t>Cele zrealizowane w latach 2016-2025  (wagowo)</t>
  </si>
  <si>
    <t>Cele zrealizowane w latach 2016-2025  (procentowo</t>
  </si>
  <si>
    <t>Cele zrealizowane w latach 2016-2025  (procentowo)</t>
  </si>
  <si>
    <t>Cele planowane w latach 2016-2030  (wagowo)</t>
  </si>
  <si>
    <t>Cele planowane w latach 2016-2030  (procentowo)</t>
  </si>
  <si>
    <t>Całkowity efekt ekologiczny w latach 2016-2025</t>
  </si>
  <si>
    <t xml:space="preserve">Cel planowany - redukcja w roku 2025 w stosunku do wartości całkowitych w gminie w roku bazowym (w przypadku OŹE - wzrost)  [%] </t>
  </si>
  <si>
    <t>Efekt ekologiczny 2021-2025</t>
  </si>
  <si>
    <t>Produkcja energii z OŹE w gminie łącznie [MWh/rok]</t>
  </si>
  <si>
    <t>Wartość planowana  w gminie  łącznie w roku bazowym z uwzględnieniem zrealizowanych działań w latach 2016-2030</t>
  </si>
  <si>
    <t xml:space="preserve">Cel planowany - redukcja w roku 2030 w stosunku do wartości całkowitych w gminie w roku bazowym (w przypadku OŹE - wzrost)  [%]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</si>
</sst>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zł&quot;;[Red]\-#,##0.00\ &quot;zł&quot;"/>
    <numFmt numFmtId="164" formatCode="_-* #,##0.00\ _z_ł_-;\-* #,##0.00\ _z_ł_-;_-* &quot;-&quot;??\ _z_ł_-;_-@_-"/>
    <numFmt numFmtId="165" formatCode="0.0"/>
    <numFmt numFmtId="166" formatCode="0.0%"/>
    <numFmt numFmtId="167" formatCode="0.000%"/>
    <numFmt numFmtId="168" formatCode="#,##0.000"/>
    <numFmt numFmtId="169" formatCode="#,##0.0000"/>
    <numFmt numFmtId="170" formatCode="0.000"/>
    <numFmt numFmtId="171" formatCode="0.00000%"/>
  </numFmts>
  <fonts count="9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9"/>
      <name val="Calibri"/>
      <family val="2"/>
      <charset val="238"/>
    </font>
    <font>
      <sz val="10"/>
      <color theme="1"/>
      <name val="Czcionka tekstu podstawowego"/>
      <family val="2"/>
      <charset val="238"/>
    </font>
    <font>
      <sz val="6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zcionka tekstu podstawowego"/>
      <family val="2"/>
      <charset val="238"/>
    </font>
    <font>
      <b/>
      <sz val="7"/>
      <color theme="1"/>
      <name val="Czcionka tekstu podstawowego"/>
      <charset val="238"/>
    </font>
    <font>
      <sz val="7"/>
      <color theme="1"/>
      <name val="Czcionka tekstu podstawowego"/>
      <family val="2"/>
      <charset val="238"/>
    </font>
    <font>
      <b/>
      <sz val="7"/>
      <color theme="1"/>
      <name val="Czcionka tekstu podstawowego"/>
      <family val="2"/>
      <charset val="238"/>
    </font>
    <font>
      <b/>
      <sz val="9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</font>
    <font>
      <b/>
      <sz val="8"/>
      <color theme="1"/>
      <name val="Czcionka tekstu podstawowego"/>
      <charset val="238"/>
    </font>
    <font>
      <sz val="5"/>
      <color theme="1"/>
      <name val="Czcionka tekstu podstawowego"/>
      <family val="2"/>
      <charset val="238"/>
    </font>
    <font>
      <b/>
      <sz val="5"/>
      <color theme="1"/>
      <name val="Czcionka tekstu podstawowego"/>
      <charset val="238"/>
    </font>
    <font>
      <b/>
      <sz val="5"/>
      <color theme="1"/>
      <name val="Calibri"/>
      <family val="2"/>
      <charset val="238"/>
      <scheme val="minor"/>
    </font>
    <font>
      <vertAlign val="superscript"/>
      <sz val="11"/>
      <color theme="1"/>
      <name val="Czcionka tekstu podstawowego"/>
      <family val="2"/>
      <charset val="238"/>
    </font>
    <font>
      <sz val="5"/>
      <color theme="1"/>
      <name val="Czcionka tekstu podstawowego"/>
      <charset val="238"/>
    </font>
    <font>
      <sz val="5"/>
      <color theme="1"/>
      <name val="Calibri"/>
      <family val="2"/>
      <charset val="238"/>
      <scheme val="minor"/>
    </font>
    <font>
      <sz val="5"/>
      <name val="Calibri"/>
      <family val="2"/>
      <charset val="238"/>
      <scheme val="minor"/>
    </font>
    <font>
      <b/>
      <sz val="6"/>
      <color theme="1"/>
      <name val="Czcionka tekstu podstawowego"/>
      <charset val="238"/>
    </font>
    <font>
      <sz val="6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6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7"/>
      <color theme="1"/>
      <name val="Czcionka tekstu podstawowego"/>
      <charset val="238"/>
    </font>
    <font>
      <sz val="7"/>
      <color theme="1"/>
      <name val="Czcionka tekstu podstawowego"/>
      <family val="2"/>
      <charset val="238"/>
    </font>
    <font>
      <b/>
      <sz val="7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family val="2"/>
      <charset val="238"/>
    </font>
    <font>
      <b/>
      <sz val="6"/>
      <color indexed="81"/>
      <name val="Tahoma"/>
      <family val="2"/>
      <charset val="238"/>
    </font>
    <font>
      <sz val="6"/>
      <color indexed="81"/>
      <name val="Tahoma"/>
      <family val="2"/>
      <charset val="238"/>
    </font>
    <font>
      <sz val="7"/>
      <color theme="1"/>
      <name val="Calibri"/>
      <family val="2"/>
      <charset val="238"/>
      <scheme val="minor"/>
    </font>
    <font>
      <b/>
      <sz val="9"/>
      <color theme="1"/>
      <name val="Czcionka tekstu podstawowego"/>
      <charset val="238"/>
    </font>
    <font>
      <sz val="7"/>
      <color theme="1"/>
      <name val="Calibri"/>
      <family val="2"/>
      <charset val="238"/>
    </font>
    <font>
      <sz val="6"/>
      <name val="Czcionka tekstu podstawowego"/>
      <family val="2"/>
      <charset val="238"/>
    </font>
    <font>
      <b/>
      <strike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10"/>
      <color theme="4"/>
      <name val="Czcionka tekstu podstawowego"/>
      <charset val="238"/>
    </font>
    <font>
      <i/>
      <sz val="8"/>
      <color theme="1"/>
      <name val="Calibri"/>
      <family val="2"/>
      <charset val="238"/>
      <scheme val="minor"/>
    </font>
    <font>
      <i/>
      <sz val="11"/>
      <color theme="4"/>
      <name val="Czcionka tekstu podstawowego"/>
      <family val="2"/>
      <charset val="238"/>
    </font>
    <font>
      <i/>
      <sz val="8"/>
      <color theme="4"/>
      <name val="Calibri"/>
      <family val="2"/>
      <charset val="238"/>
    </font>
    <font>
      <i/>
      <sz val="9"/>
      <color theme="4"/>
      <name val="Calibri"/>
      <family val="2"/>
      <charset val="238"/>
      <scheme val="minor"/>
    </font>
    <font>
      <b/>
      <i/>
      <sz val="9"/>
      <color theme="4"/>
      <name val="Calibri"/>
      <family val="2"/>
      <charset val="238"/>
      <scheme val="minor"/>
    </font>
    <font>
      <i/>
      <sz val="8"/>
      <color theme="4"/>
      <name val="Czcionka tekstu podstawowego"/>
      <family val="2"/>
      <charset val="238"/>
    </font>
    <font>
      <i/>
      <sz val="9"/>
      <color theme="4"/>
      <name val="Czcionka tekstu podstawowego"/>
      <family val="2"/>
      <charset val="238"/>
    </font>
    <font>
      <i/>
      <sz val="6"/>
      <color theme="4"/>
      <name val="Czcionka tekstu podstawowego"/>
      <family val="2"/>
      <charset val="238"/>
    </font>
    <font>
      <i/>
      <sz val="8"/>
      <color theme="4"/>
      <name val="Calibri"/>
      <family val="2"/>
      <charset val="238"/>
      <scheme val="minor"/>
    </font>
    <font>
      <b/>
      <i/>
      <sz val="11"/>
      <color theme="4"/>
      <name val="Czcionka tekstu podstawowego"/>
      <family val="2"/>
      <charset val="238"/>
    </font>
    <font>
      <b/>
      <i/>
      <sz val="6"/>
      <color theme="4"/>
      <name val="Czcionka tekstu podstawowego"/>
      <family val="2"/>
      <charset val="238"/>
    </font>
    <font>
      <b/>
      <sz val="11"/>
      <color rgb="FFFF5050"/>
      <name val="Czcionka tekstu podstawowego"/>
      <charset val="238"/>
    </font>
    <font>
      <sz val="11"/>
      <name val="Czcionka tekstu podstawowego"/>
      <family val="2"/>
      <charset val="238"/>
    </font>
    <font>
      <sz val="7"/>
      <name val="Arial"/>
      <family val="2"/>
      <charset val="238"/>
    </font>
    <font>
      <b/>
      <sz val="7.5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1"/>
      <name val="Calibri"/>
      <family val="2"/>
      <charset val="238"/>
    </font>
    <font>
      <sz val="7"/>
      <name val="Czcionka tekstu podstawowego"/>
      <family val="2"/>
      <charset val="238"/>
    </font>
    <font>
      <b/>
      <sz val="11"/>
      <name val="Czcionka tekstu podstawowego"/>
      <charset val="238"/>
    </font>
    <font>
      <sz val="10"/>
      <name val="Czcionka tekstu podstawowego"/>
      <family val="2"/>
      <charset val="238"/>
    </font>
    <font>
      <b/>
      <sz val="11"/>
      <name val="Calibri"/>
      <family val="2"/>
      <charset val="238"/>
      <scheme val="minor"/>
    </font>
    <font>
      <b/>
      <sz val="8"/>
      <name val="Czcionka tekstu podstawowego"/>
      <family val="2"/>
      <charset val="238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7"/>
      <name val="Czcionka tekstu podstawowego"/>
      <charset val="238"/>
    </font>
    <font>
      <b/>
      <sz val="7"/>
      <name val="Czcionka tekstu podstawowego"/>
      <family val="2"/>
      <charset val="238"/>
    </font>
    <font>
      <sz val="9"/>
      <name val="Czcionka tekstu podstawowego"/>
      <family val="2"/>
      <charset val="238"/>
    </font>
    <font>
      <b/>
      <sz val="9"/>
      <name val="Czcionka tekstu podstawowego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2D214"/>
        <bgColor indexed="64"/>
      </patternFill>
    </fill>
    <fill>
      <patternFill patternType="solid">
        <fgColor rgb="FFFF6E47"/>
        <bgColor indexed="64"/>
      </patternFill>
    </fill>
    <fill>
      <patternFill patternType="solid">
        <fgColor rgb="FFD9D9D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164" fontId="5" fillId="0" borderId="0" applyFont="0" applyFill="0" applyBorder="0" applyAlignment="0" applyProtection="0"/>
    <xf numFmtId="0" fontId="5" fillId="0" borderId="0"/>
  </cellStyleXfs>
  <cellXfs count="45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3" fillId="0" borderId="0" xfId="0" applyFont="1"/>
    <xf numFmtId="2" fontId="6" fillId="0" borderId="2" xfId="0" applyNumberFormat="1" applyFont="1" applyBorder="1" applyAlignment="1">
      <alignment horizontal="left" vertical="top"/>
    </xf>
    <xf numFmtId="2" fontId="4" fillId="0" borderId="0" xfId="0" applyNumberFormat="1" applyFont="1"/>
    <xf numFmtId="2" fontId="4" fillId="0" borderId="2" xfId="0" applyNumberFormat="1" applyFont="1" applyBorder="1"/>
    <xf numFmtId="2" fontId="15" fillId="0" borderId="2" xfId="0" applyNumberFormat="1" applyFont="1" applyBorder="1"/>
    <xf numFmtId="2" fontId="16" fillId="0" borderId="2" xfId="0" applyNumberFormat="1" applyFont="1" applyBorder="1" applyAlignment="1">
      <alignment horizontal="right" vertical="center" wrapText="1"/>
    </xf>
    <xf numFmtId="2" fontId="17" fillId="0" borderId="2" xfId="0" applyNumberFormat="1" applyFont="1" applyBorder="1"/>
    <xf numFmtId="0" fontId="4" fillId="0" borderId="0" xfId="0" applyFont="1"/>
    <xf numFmtId="0" fontId="4" fillId="0" borderId="0" xfId="0" applyFont="1" applyAlignment="1">
      <alignment horizontal="left"/>
    </xf>
    <xf numFmtId="2" fontId="4" fillId="0" borderId="2" xfId="0" applyNumberFormat="1" applyFont="1" applyBorder="1" applyAlignment="1">
      <alignment horizontal="right" vertical="top"/>
    </xf>
    <xf numFmtId="4" fontId="0" fillId="0" borderId="0" xfId="0" applyNumberFormat="1"/>
    <xf numFmtId="0" fontId="9" fillId="0" borderId="0" xfId="0" applyFont="1"/>
    <xf numFmtId="0" fontId="8" fillId="0" borderId="0" xfId="0" applyFont="1"/>
    <xf numFmtId="0" fontId="13" fillId="0" borderId="0" xfId="0" applyFont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4" fillId="0" borderId="2" xfId="1" applyFont="1" applyFill="1" applyBorder="1" applyAlignment="1" applyProtection="1">
      <alignment horizontal="center" vertical="center"/>
      <protection locked="0"/>
    </xf>
    <xf numFmtId="2" fontId="17" fillId="0" borderId="0" xfId="0" applyNumberFormat="1" applyFont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8" fontId="15" fillId="0" borderId="2" xfId="0" applyNumberFormat="1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0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5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29" fillId="0" borderId="0" xfId="0" applyFont="1" applyAlignment="1" applyProtection="1">
      <alignment horizontal="center" vertical="center"/>
      <protection locked="0"/>
    </xf>
    <xf numFmtId="0" fontId="30" fillId="0" borderId="28" xfId="0" applyFont="1" applyBorder="1" applyAlignment="1" applyProtection="1">
      <alignment horizontal="center" vertical="center"/>
      <protection locked="0"/>
    </xf>
    <xf numFmtId="49" fontId="31" fillId="0" borderId="29" xfId="0" applyNumberFormat="1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2" borderId="25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49" fontId="34" fillId="0" borderId="11" xfId="0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29" fillId="0" borderId="2" xfId="0" applyFont="1" applyBorder="1" applyAlignment="1">
      <alignment vertical="top" wrapText="1"/>
    </xf>
    <xf numFmtId="0" fontId="35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 wrapText="1"/>
      <protection locked="0"/>
    </xf>
    <xf numFmtId="2" fontId="34" fillId="0" borderId="2" xfId="0" applyNumberFormat="1" applyFont="1" applyBorder="1" applyAlignment="1" applyProtection="1">
      <alignment horizontal="center" vertical="center"/>
      <protection locked="0"/>
    </xf>
    <xf numFmtId="165" fontId="29" fillId="0" borderId="2" xfId="0" applyNumberFormat="1" applyFont="1" applyBorder="1" applyAlignment="1" applyProtection="1">
      <alignment horizontal="center" vertical="center"/>
      <protection locked="0"/>
    </xf>
    <xf numFmtId="2" fontId="29" fillId="0" borderId="2" xfId="0" applyNumberFormat="1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 applyProtection="1">
      <alignment horizontal="center" vertical="center" wrapText="1"/>
      <protection locked="0"/>
    </xf>
    <xf numFmtId="0" fontId="34" fillId="0" borderId="13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/>
    </xf>
    <xf numFmtId="0" fontId="29" fillId="4" borderId="0" xfId="0" applyFont="1" applyFill="1" applyAlignment="1" applyProtection="1">
      <alignment horizontal="center" vertical="center"/>
      <protection locked="0"/>
    </xf>
    <xf numFmtId="0" fontId="35" fillId="0" borderId="2" xfId="0" applyFont="1" applyBorder="1" applyAlignment="1" applyProtection="1">
      <alignment vertical="top" wrapText="1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2" fontId="34" fillId="0" borderId="2" xfId="0" applyNumberFormat="1" applyFont="1" applyBorder="1" applyAlignment="1" applyProtection="1">
      <alignment horizontal="center"/>
      <protection locked="0"/>
    </xf>
    <xf numFmtId="0" fontId="29" fillId="0" borderId="18" xfId="0" applyFont="1" applyBorder="1" applyAlignment="1">
      <alignment horizontal="center" vertical="center"/>
    </xf>
    <xf numFmtId="0" fontId="34" fillId="0" borderId="19" xfId="0" applyFont="1" applyBorder="1" applyAlignment="1">
      <alignment horizontal="left" vertical="center" wrapText="1"/>
    </xf>
    <xf numFmtId="0" fontId="35" fillId="0" borderId="19" xfId="0" applyFont="1" applyBorder="1" applyAlignment="1" applyProtection="1">
      <alignment horizontal="center" vertical="center" wrapText="1"/>
      <protection locked="0"/>
    </xf>
    <xf numFmtId="0" fontId="34" fillId="0" borderId="19" xfId="0" applyFont="1" applyBorder="1" applyAlignment="1" applyProtection="1">
      <alignment horizontal="center" vertical="center"/>
      <protection locked="0"/>
    </xf>
    <xf numFmtId="0" fontId="29" fillId="0" borderId="19" xfId="0" applyFont="1" applyBorder="1" applyAlignment="1" applyProtection="1">
      <alignment horizontal="center" vertical="center"/>
      <protection locked="0"/>
    </xf>
    <xf numFmtId="165" fontId="30" fillId="0" borderId="19" xfId="0" applyNumberFormat="1" applyFont="1" applyBorder="1" applyAlignment="1" applyProtection="1">
      <alignment horizontal="center" vertical="center"/>
      <protection locked="0"/>
    </xf>
    <xf numFmtId="2" fontId="29" fillId="0" borderId="19" xfId="0" applyNumberFormat="1" applyFont="1" applyBorder="1" applyAlignment="1" applyProtection="1">
      <alignment horizontal="center" vertical="center"/>
      <protection locked="0"/>
    </xf>
    <xf numFmtId="0" fontId="29" fillId="0" borderId="20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left" vertical="center"/>
      <protection locked="0"/>
    </xf>
    <xf numFmtId="2" fontId="29" fillId="0" borderId="0" xfId="0" applyNumberFormat="1" applyFont="1" applyAlignment="1" applyProtection="1">
      <alignment horizontal="center" vertical="center"/>
      <protection locked="0"/>
    </xf>
    <xf numFmtId="0" fontId="30" fillId="5" borderId="2" xfId="0" applyFont="1" applyFill="1" applyBorder="1" applyAlignment="1" applyProtection="1">
      <alignment horizontal="left" vertical="center"/>
      <protection locked="0"/>
    </xf>
    <xf numFmtId="164" fontId="30" fillId="5" borderId="2" xfId="2" applyFont="1" applyFill="1" applyBorder="1" applyAlignment="1" applyProtection="1">
      <alignment horizontal="center" vertical="center"/>
      <protection locked="0"/>
    </xf>
    <xf numFmtId="165" fontId="30" fillId="5" borderId="2" xfId="0" applyNumberFormat="1" applyFont="1" applyFill="1" applyBorder="1" applyAlignment="1" applyProtection="1">
      <alignment horizontal="center" vertical="center"/>
      <protection locked="0"/>
    </xf>
    <xf numFmtId="0" fontId="36" fillId="0" borderId="16" xfId="0" applyFont="1" applyBorder="1" applyAlignment="1" applyProtection="1">
      <alignment horizontal="left"/>
      <protection locked="0"/>
    </xf>
    <xf numFmtId="2" fontId="34" fillId="0" borderId="17" xfId="0" applyNumberFormat="1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left" vertical="center"/>
      <protection locked="0"/>
    </xf>
    <xf numFmtId="164" fontId="30" fillId="0" borderId="2" xfId="0" applyNumberFormat="1" applyFont="1" applyBorder="1" applyAlignment="1" applyProtection="1">
      <alignment horizontal="center" vertical="center"/>
      <protection locked="0"/>
    </xf>
    <xf numFmtId="165" fontId="30" fillId="0" borderId="2" xfId="0" applyNumberFormat="1" applyFont="1" applyBorder="1" applyAlignment="1" applyProtection="1">
      <alignment horizontal="center" vertical="center"/>
      <protection locked="0"/>
    </xf>
    <xf numFmtId="10" fontId="29" fillId="4" borderId="0" xfId="0" applyNumberFormat="1" applyFont="1" applyFill="1" applyAlignment="1" applyProtection="1">
      <alignment horizontal="center" vertical="center"/>
      <protection locked="0"/>
    </xf>
    <xf numFmtId="0" fontId="36" fillId="0" borderId="16" xfId="0" applyFont="1" applyBorder="1" applyAlignment="1">
      <alignment horizontal="left" wrapText="1"/>
    </xf>
    <xf numFmtId="0" fontId="36" fillId="0" borderId="18" xfId="0" applyFont="1" applyBorder="1" applyAlignment="1" applyProtection="1">
      <alignment horizontal="left"/>
      <protection locked="0"/>
    </xf>
    <xf numFmtId="2" fontId="34" fillId="0" borderId="20" xfId="0" applyNumberFormat="1" applyFont="1" applyBorder="1" applyAlignment="1" applyProtection="1">
      <alignment horizontal="center" vertical="center"/>
      <protection locked="0"/>
    </xf>
    <xf numFmtId="49" fontId="34" fillId="0" borderId="0" xfId="0" applyNumberFormat="1" applyFont="1" applyAlignment="1" applyProtection="1">
      <alignment horizontal="center" vertical="center"/>
      <protection locked="0"/>
    </xf>
    <xf numFmtId="49" fontId="34" fillId="0" borderId="3" xfId="0" applyNumberFormat="1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49" fontId="34" fillId="0" borderId="2" xfId="0" applyNumberFormat="1" applyFont="1" applyBorder="1" applyAlignment="1" applyProtection="1">
      <alignment horizontal="center" vertical="center"/>
      <protection locked="0"/>
    </xf>
    <xf numFmtId="0" fontId="38" fillId="0" borderId="0" xfId="0" applyFont="1"/>
    <xf numFmtId="0" fontId="41" fillId="0" borderId="0" xfId="0" applyFont="1"/>
    <xf numFmtId="0" fontId="42" fillId="0" borderId="0" xfId="0" applyFont="1"/>
    <xf numFmtId="0" fontId="44" fillId="0" borderId="0" xfId="0" applyFont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2" fontId="48" fillId="0" borderId="0" xfId="0" applyNumberFormat="1" applyFont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2" fillId="2" borderId="2" xfId="0" applyFont="1" applyFill="1" applyBorder="1" applyAlignment="1">
      <alignment horizontal="center" vertical="center" wrapText="1"/>
    </xf>
    <xf numFmtId="0" fontId="53" fillId="2" borderId="2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2" fontId="48" fillId="0" borderId="2" xfId="0" applyNumberFormat="1" applyFont="1" applyBorder="1" applyAlignment="1">
      <alignment horizontal="center" vertical="center" wrapText="1"/>
    </xf>
    <xf numFmtId="9" fontId="54" fillId="0" borderId="2" xfId="1" applyFont="1" applyFill="1" applyBorder="1" applyAlignment="1" applyProtection="1">
      <alignment horizontal="center" vertical="center"/>
      <protection locked="0"/>
    </xf>
    <xf numFmtId="2" fontId="46" fillId="0" borderId="2" xfId="0" applyNumberFormat="1" applyFont="1" applyBorder="1" applyAlignment="1">
      <alignment horizontal="center" vertical="center" wrapText="1"/>
    </xf>
    <xf numFmtId="0" fontId="51" fillId="0" borderId="2" xfId="0" applyFont="1" applyBorder="1" applyAlignment="1">
      <alignment horizontal="right" vertical="center" wrapText="1"/>
    </xf>
    <xf numFmtId="2" fontId="45" fillId="0" borderId="2" xfId="0" applyNumberFormat="1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/>
    </xf>
    <xf numFmtId="9" fontId="41" fillId="0" borderId="0" xfId="1" applyFont="1" applyFill="1"/>
    <xf numFmtId="0" fontId="39" fillId="0" borderId="0" xfId="0" applyFont="1"/>
    <xf numFmtId="166" fontId="41" fillId="0" borderId="0" xfId="1" applyNumberFormat="1" applyFont="1" applyFill="1"/>
    <xf numFmtId="0" fontId="35" fillId="3" borderId="16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vertical="top" wrapText="1"/>
    </xf>
    <xf numFmtId="0" fontId="35" fillId="3" borderId="2" xfId="0" applyFont="1" applyFill="1" applyBorder="1" applyAlignment="1" applyProtection="1">
      <alignment horizontal="center" vertical="center" wrapText="1"/>
      <protection locked="0"/>
    </xf>
    <xf numFmtId="0" fontId="34" fillId="3" borderId="2" xfId="0" applyFont="1" applyFill="1" applyBorder="1" applyAlignment="1" applyProtection="1">
      <alignment horizontal="center" vertical="center"/>
      <protection locked="0"/>
    </xf>
    <xf numFmtId="0" fontId="34" fillId="3" borderId="2" xfId="0" applyFont="1" applyFill="1" applyBorder="1" applyAlignment="1" applyProtection="1">
      <alignment horizontal="center" vertical="center" wrapText="1"/>
      <protection locked="0"/>
    </xf>
    <xf numFmtId="2" fontId="34" fillId="3" borderId="2" xfId="0" applyNumberFormat="1" applyFont="1" applyFill="1" applyBorder="1" applyAlignment="1" applyProtection="1">
      <alignment horizontal="center" vertical="center"/>
      <protection locked="0"/>
    </xf>
    <xf numFmtId="165" fontId="29" fillId="3" borderId="2" xfId="0" applyNumberFormat="1" applyFont="1" applyFill="1" applyBorder="1" applyAlignment="1" applyProtection="1">
      <alignment horizontal="center" vertical="center"/>
      <protection locked="0"/>
    </xf>
    <xf numFmtId="2" fontId="29" fillId="3" borderId="2" xfId="0" applyNumberFormat="1" applyFont="1" applyFill="1" applyBorder="1" applyAlignment="1" applyProtection="1">
      <alignment horizontal="center" vertical="center"/>
      <protection locked="0"/>
    </xf>
    <xf numFmtId="0" fontId="29" fillId="3" borderId="17" xfId="0" applyFont="1" applyFill="1" applyBorder="1" applyAlignment="1" applyProtection="1">
      <alignment horizontal="center" vertical="center" wrapText="1"/>
      <protection locked="0"/>
    </xf>
    <xf numFmtId="0" fontId="34" fillId="3" borderId="13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/>
    </xf>
    <xf numFmtId="0" fontId="29" fillId="3" borderId="0" xfId="0" applyFont="1" applyFill="1" applyAlignment="1" applyProtection="1">
      <alignment horizontal="center" vertical="center"/>
      <protection locked="0"/>
    </xf>
    <xf numFmtId="0" fontId="29" fillId="3" borderId="16" xfId="0" applyFont="1" applyFill="1" applyBorder="1" applyAlignment="1">
      <alignment horizontal="center" vertical="center"/>
    </xf>
    <xf numFmtId="2" fontId="17" fillId="6" borderId="2" xfId="0" applyNumberFormat="1" applyFont="1" applyFill="1" applyBorder="1" applyAlignment="1">
      <alignment horizontal="center" vertical="center" wrapText="1"/>
    </xf>
    <xf numFmtId="0" fontId="39" fillId="6" borderId="2" xfId="0" applyFont="1" applyFill="1" applyBorder="1"/>
    <xf numFmtId="2" fontId="50" fillId="6" borderId="2" xfId="0" applyNumberFormat="1" applyFont="1" applyFill="1" applyBorder="1" applyAlignment="1">
      <alignment horizontal="center" vertical="center" wrapText="1"/>
    </xf>
    <xf numFmtId="2" fontId="48" fillId="6" borderId="2" xfId="0" applyNumberFormat="1" applyFont="1" applyFill="1" applyBorder="1" applyAlignment="1">
      <alignment horizontal="center" vertical="center" wrapText="1"/>
    </xf>
    <xf numFmtId="10" fontId="45" fillId="6" borderId="2" xfId="0" applyNumberFormat="1" applyFont="1" applyFill="1" applyBorder="1" applyAlignment="1">
      <alignment horizontal="center" vertical="center" wrapText="1"/>
    </xf>
    <xf numFmtId="4" fontId="45" fillId="6" borderId="2" xfId="0" applyNumberFormat="1" applyFont="1" applyFill="1" applyBorder="1" applyAlignment="1">
      <alignment horizontal="center" vertical="center" wrapText="1"/>
    </xf>
    <xf numFmtId="169" fontId="45" fillId="6" borderId="2" xfId="0" applyNumberFormat="1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2" fontId="48" fillId="2" borderId="2" xfId="0" applyNumberFormat="1" applyFont="1" applyFill="1" applyBorder="1" applyAlignment="1">
      <alignment horizontal="center" vertical="center" wrapText="1"/>
    </xf>
    <xf numFmtId="2" fontId="17" fillId="2" borderId="2" xfId="0" applyNumberFormat="1" applyFont="1" applyFill="1" applyBorder="1" applyAlignment="1">
      <alignment horizontal="center" vertical="center" wrapText="1"/>
    </xf>
    <xf numFmtId="9" fontId="45" fillId="2" borderId="2" xfId="1" applyFont="1" applyFill="1" applyBorder="1" applyAlignment="1">
      <alignment horizontal="center" vertical="center" wrapText="1"/>
    </xf>
    <xf numFmtId="4" fontId="45" fillId="2" borderId="2" xfId="0" applyNumberFormat="1" applyFont="1" applyFill="1" applyBorder="1" applyAlignment="1">
      <alignment horizontal="center" vertical="center" wrapText="1"/>
    </xf>
    <xf numFmtId="10" fontId="45" fillId="2" borderId="2" xfId="1" applyNumberFormat="1" applyFont="1" applyFill="1" applyBorder="1" applyAlignment="1">
      <alignment horizontal="center" vertical="center" wrapText="1"/>
    </xf>
    <xf numFmtId="170" fontId="17" fillId="0" borderId="2" xfId="0" applyNumberFormat="1" applyFont="1" applyBorder="1" applyAlignment="1">
      <alignment horizontal="center" vertical="center" wrapText="1"/>
    </xf>
    <xf numFmtId="168" fontId="0" fillId="0" borderId="0" xfId="0" applyNumberFormat="1"/>
    <xf numFmtId="2" fontId="10" fillId="0" borderId="2" xfId="0" applyNumberFormat="1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left"/>
    </xf>
    <xf numFmtId="0" fontId="45" fillId="0" borderId="0" xfId="0" applyFont="1" applyAlignment="1">
      <alignment horizontal="left" wrapText="1"/>
    </xf>
    <xf numFmtId="0" fontId="45" fillId="0" borderId="0" xfId="0" applyFont="1" applyAlignment="1">
      <alignment horizontal="left" vertical="top" wrapText="1"/>
    </xf>
    <xf numFmtId="4" fontId="45" fillId="0" borderId="0" xfId="0" applyNumberFormat="1" applyFont="1" applyAlignment="1">
      <alignment horizontal="center" vertical="center" wrapText="1"/>
    </xf>
    <xf numFmtId="10" fontId="45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horizontal="left" wrapText="1"/>
    </xf>
    <xf numFmtId="9" fontId="15" fillId="2" borderId="2" xfId="1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9" fontId="9" fillId="0" borderId="2" xfId="1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5" fillId="0" borderId="2" xfId="0" applyFont="1" applyBorder="1" applyAlignment="1">
      <alignment horizontal="center" vertical="center" wrapText="1"/>
    </xf>
    <xf numFmtId="2" fontId="58" fillId="0" borderId="2" xfId="0" applyNumberFormat="1" applyFont="1" applyBorder="1" applyAlignment="1">
      <alignment horizontal="center" vertical="center" wrapText="1"/>
    </xf>
    <xf numFmtId="165" fontId="59" fillId="7" borderId="0" xfId="0" applyNumberFormat="1" applyFont="1" applyFill="1"/>
    <xf numFmtId="2" fontId="45" fillId="2" borderId="2" xfId="1" applyNumberFormat="1" applyFont="1" applyFill="1" applyBorder="1" applyAlignment="1">
      <alignment horizontal="center" vertical="center" wrapText="1"/>
    </xf>
    <xf numFmtId="2" fontId="41" fillId="0" borderId="0" xfId="0" applyNumberFormat="1" applyFont="1"/>
    <xf numFmtId="170" fontId="41" fillId="0" borderId="0" xfId="0" applyNumberFormat="1" applyFont="1"/>
    <xf numFmtId="0" fontId="40" fillId="2" borderId="2" xfId="0" applyFont="1" applyFill="1" applyBorder="1"/>
    <xf numFmtId="0" fontId="38" fillId="0" borderId="2" xfId="0" applyFont="1" applyBorder="1"/>
    <xf numFmtId="0" fontId="46" fillId="0" borderId="2" xfId="0" applyFont="1" applyBorder="1" applyAlignment="1">
      <alignment horizontal="center"/>
    </xf>
    <xf numFmtId="10" fontId="48" fillId="2" borderId="2" xfId="1" applyNumberFormat="1" applyFont="1" applyFill="1" applyBorder="1" applyAlignment="1">
      <alignment horizontal="center" vertical="center" wrapText="1"/>
    </xf>
    <xf numFmtId="171" fontId="45" fillId="2" borderId="2" xfId="1" applyNumberFormat="1" applyFont="1" applyFill="1" applyBorder="1" applyAlignment="1">
      <alignment horizontal="center" vertical="center" wrapText="1"/>
    </xf>
    <xf numFmtId="166" fontId="45" fillId="2" borderId="2" xfId="1" applyNumberFormat="1" applyFont="1" applyFill="1" applyBorder="1" applyAlignment="1">
      <alignment horizontal="center" vertical="center" wrapText="1"/>
    </xf>
    <xf numFmtId="166" fontId="15" fillId="2" borderId="2" xfId="1" applyNumberFormat="1" applyFont="1" applyFill="1" applyBorder="1" applyAlignment="1">
      <alignment horizontal="center" vertical="center" wrapText="1"/>
    </xf>
    <xf numFmtId="0" fontId="51" fillId="0" borderId="0" xfId="0" applyFont="1"/>
    <xf numFmtId="4" fontId="15" fillId="6" borderId="2" xfId="0" applyNumberFormat="1" applyFont="1" applyFill="1" applyBorder="1" applyAlignment="1">
      <alignment horizontal="center" vertical="center" wrapText="1"/>
    </xf>
    <xf numFmtId="0" fontId="61" fillId="0" borderId="2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9" fontId="0" fillId="0" borderId="0" xfId="0" applyNumberFormat="1"/>
    <xf numFmtId="170" fontId="4" fillId="0" borderId="0" xfId="0" applyNumberFormat="1" applyFont="1"/>
    <xf numFmtId="167" fontId="45" fillId="6" borderId="2" xfId="1" applyNumberFormat="1" applyFont="1" applyFill="1" applyBorder="1" applyAlignment="1">
      <alignment horizontal="center" vertical="center" wrapText="1"/>
    </xf>
    <xf numFmtId="10" fontId="63" fillId="0" borderId="2" xfId="1" applyNumberFormat="1" applyFont="1" applyFill="1" applyBorder="1" applyAlignment="1">
      <alignment horizontal="center" vertical="center" wrapText="1"/>
    </xf>
    <xf numFmtId="10" fontId="15" fillId="0" borderId="2" xfId="1" applyNumberFormat="1" applyFont="1" applyFill="1" applyBorder="1" applyAlignment="1">
      <alignment horizontal="center" vertical="center" wrapText="1"/>
    </xf>
    <xf numFmtId="2" fontId="17" fillId="8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64" fillId="0" borderId="0" xfId="0" applyFont="1" applyAlignment="1">
      <alignment horizontal="left"/>
    </xf>
    <xf numFmtId="0" fontId="66" fillId="0" borderId="0" xfId="0" applyFont="1"/>
    <xf numFmtId="2" fontId="68" fillId="0" borderId="2" xfId="0" applyNumberFormat="1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9" fontId="70" fillId="0" borderId="2" xfId="1" applyFont="1" applyFill="1" applyBorder="1" applyAlignment="1" applyProtection="1">
      <alignment horizontal="center" vertical="center"/>
      <protection locked="0"/>
    </xf>
    <xf numFmtId="9" fontId="71" fillId="0" borderId="2" xfId="1" applyFont="1" applyFill="1" applyBorder="1" applyAlignment="1" applyProtection="1">
      <alignment horizontal="center" vertical="center"/>
      <protection locked="0"/>
    </xf>
    <xf numFmtId="10" fontId="71" fillId="0" borderId="2" xfId="0" applyNumberFormat="1" applyFont="1" applyBorder="1" applyAlignment="1" applyProtection="1">
      <alignment horizontal="center" vertical="center"/>
      <protection locked="0"/>
    </xf>
    <xf numFmtId="0" fontId="72" fillId="0" borderId="0" xfId="0" applyFont="1"/>
    <xf numFmtId="2" fontId="73" fillId="0" borderId="2" xfId="0" applyNumberFormat="1" applyFont="1" applyBorder="1" applyAlignment="1">
      <alignment horizontal="center" vertical="center" wrapText="1"/>
    </xf>
    <xf numFmtId="4" fontId="69" fillId="0" borderId="2" xfId="0" applyNumberFormat="1" applyFont="1" applyBorder="1" applyAlignment="1">
      <alignment horizontal="center" vertical="center" wrapText="1"/>
    </xf>
    <xf numFmtId="2" fontId="68" fillId="0" borderId="0" xfId="0" applyNumberFormat="1" applyFont="1" applyAlignment="1">
      <alignment horizontal="center" vertical="center" wrapText="1"/>
    </xf>
    <xf numFmtId="0" fontId="66" fillId="0" borderId="0" xfId="0" applyFont="1" applyAlignment="1">
      <alignment horizontal="center" wrapText="1"/>
    </xf>
    <xf numFmtId="4" fontId="69" fillId="0" borderId="13" xfId="0" applyNumberFormat="1" applyFont="1" applyBorder="1" applyAlignment="1">
      <alignment horizontal="center" vertical="center" wrapText="1"/>
    </xf>
    <xf numFmtId="0" fontId="74" fillId="0" borderId="0" xfId="0" applyFont="1"/>
    <xf numFmtId="2" fontId="69" fillId="0" borderId="0" xfId="0" applyNumberFormat="1" applyFont="1" applyAlignment="1">
      <alignment horizontal="center" vertical="center" wrapText="1"/>
    </xf>
    <xf numFmtId="0" fontId="74" fillId="0" borderId="0" xfId="0" applyFont="1" applyAlignment="1">
      <alignment horizontal="center" wrapText="1"/>
    </xf>
    <xf numFmtId="0" fontId="75" fillId="0" borderId="0" xfId="0" applyFont="1"/>
    <xf numFmtId="170" fontId="17" fillId="8" borderId="2" xfId="0" applyNumberFormat="1" applyFont="1" applyFill="1" applyBorder="1" applyAlignment="1">
      <alignment horizontal="center" vertical="center" wrapText="1"/>
    </xf>
    <xf numFmtId="0" fontId="76" fillId="9" borderId="0" xfId="0" applyFont="1" applyFill="1" applyAlignment="1">
      <alignment horizontal="center" vertical="center"/>
    </xf>
    <xf numFmtId="0" fontId="77" fillId="0" borderId="0" xfId="0" applyFont="1"/>
    <xf numFmtId="0" fontId="79" fillId="10" borderId="2" xfId="0" applyFont="1" applyFill="1" applyBorder="1" applyAlignment="1">
      <alignment horizontal="center" vertical="center" wrapText="1"/>
    </xf>
    <xf numFmtId="0" fontId="77" fillId="0" borderId="0" xfId="0" applyFont="1" applyAlignment="1">
      <alignment vertical="center"/>
    </xf>
    <xf numFmtId="0" fontId="80" fillId="0" borderId="0" xfId="0" applyFont="1"/>
    <xf numFmtId="0" fontId="78" fillId="5" borderId="2" xfId="0" applyFont="1" applyFill="1" applyBorder="1" applyAlignment="1">
      <alignment horizontal="left" vertical="center"/>
    </xf>
    <xf numFmtId="2" fontId="80" fillId="5" borderId="2" xfId="0" applyNumberFormat="1" applyFont="1" applyFill="1" applyBorder="1" applyAlignment="1">
      <alignment horizontal="center" vertical="center"/>
    </xf>
    <xf numFmtId="0" fontId="81" fillId="0" borderId="0" xfId="0" applyFont="1"/>
    <xf numFmtId="0" fontId="78" fillId="0" borderId="4" xfId="0" applyFont="1" applyBorder="1" applyAlignment="1">
      <alignment horizontal="left" vertical="center"/>
    </xf>
    <xf numFmtId="0" fontId="78" fillId="0" borderId="15" xfId="0" applyFont="1" applyBorder="1" applyAlignment="1">
      <alignment horizontal="left" vertical="center"/>
    </xf>
    <xf numFmtId="2" fontId="80" fillId="0" borderId="2" xfId="0" applyNumberFormat="1" applyFont="1" applyBorder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10" fontId="80" fillId="0" borderId="2" xfId="1" applyNumberFormat="1" applyFont="1" applyFill="1" applyBorder="1" applyAlignment="1">
      <alignment horizontal="center" vertical="center"/>
    </xf>
    <xf numFmtId="8" fontId="83" fillId="0" borderId="0" xfId="0" applyNumberFormat="1" applyFont="1" applyAlignment="1">
      <alignment vertical="center"/>
    </xf>
    <xf numFmtId="0" fontId="82" fillId="2" borderId="0" xfId="0" applyFont="1" applyFill="1" applyAlignment="1">
      <alignment horizontal="left"/>
    </xf>
    <xf numFmtId="0" fontId="81" fillId="2" borderId="0" xfId="0" applyFont="1" applyFill="1" applyAlignment="1">
      <alignment horizontal="center" vertical="center"/>
    </xf>
    <xf numFmtId="0" fontId="81" fillId="2" borderId="0" xfId="0" applyFont="1" applyFill="1" applyAlignment="1">
      <alignment horizontal="left" vertical="center"/>
    </xf>
    <xf numFmtId="0" fontId="82" fillId="0" borderId="0" xfId="0" applyFont="1"/>
    <xf numFmtId="2" fontId="80" fillId="0" borderId="13" xfId="0" applyNumberFormat="1" applyFont="1" applyBorder="1" applyAlignment="1">
      <alignment horizontal="center" vertical="center"/>
    </xf>
    <xf numFmtId="166" fontId="80" fillId="0" borderId="13" xfId="1" applyNumberFormat="1" applyFont="1" applyBorder="1" applyAlignment="1">
      <alignment horizontal="center" vertical="center"/>
    </xf>
    <xf numFmtId="0" fontId="84" fillId="2" borderId="0" xfId="0" applyFont="1" applyFill="1"/>
    <xf numFmtId="0" fontId="77" fillId="2" borderId="0" xfId="0" applyFont="1" applyFill="1"/>
    <xf numFmtId="0" fontId="77" fillId="2" borderId="0" xfId="0" applyFont="1" applyFill="1" applyAlignment="1">
      <alignment horizontal="left" vertical="center"/>
    </xf>
    <xf numFmtId="164" fontId="77" fillId="0" borderId="0" xfId="0" applyNumberFormat="1" applyFont="1"/>
    <xf numFmtId="164" fontId="77" fillId="0" borderId="0" xfId="2" applyFont="1"/>
    <xf numFmtId="166" fontId="80" fillId="0" borderId="2" xfId="1" applyNumberFormat="1" applyFont="1" applyBorder="1" applyAlignment="1">
      <alignment horizontal="center" vertical="center"/>
    </xf>
    <xf numFmtId="166" fontId="80" fillId="0" borderId="2" xfId="1" applyNumberFormat="1" applyFont="1" applyFill="1" applyBorder="1" applyAlignment="1">
      <alignment horizontal="center" vertical="center"/>
    </xf>
    <xf numFmtId="10" fontId="80" fillId="0" borderId="2" xfId="1" applyNumberFormat="1" applyFont="1" applyBorder="1" applyAlignment="1">
      <alignment horizontal="center" vertical="center"/>
    </xf>
    <xf numFmtId="0" fontId="85" fillId="0" borderId="0" xfId="0" applyFont="1"/>
    <xf numFmtId="0" fontId="20" fillId="6" borderId="2" xfId="0" applyFont="1" applyFill="1" applyBorder="1"/>
    <xf numFmtId="0" fontId="61" fillId="0" borderId="0" xfId="0" applyFont="1"/>
    <xf numFmtId="0" fontId="77" fillId="0" borderId="0" xfId="0" applyFont="1" applyAlignment="1">
      <alignment horizontal="center" vertical="center"/>
    </xf>
    <xf numFmtId="0" fontId="88" fillId="0" borderId="0" xfId="0" applyFont="1" applyAlignment="1">
      <alignment horizontal="left" vertical="center"/>
    </xf>
    <xf numFmtId="0" fontId="89" fillId="0" borderId="2" xfId="0" applyFont="1" applyBorder="1" applyAlignment="1">
      <alignment horizontal="center" vertical="center"/>
    </xf>
    <xf numFmtId="0" fontId="89" fillId="0" borderId="2" xfId="0" applyFont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0" fontId="84" fillId="2" borderId="2" xfId="0" applyFont="1" applyFill="1" applyBorder="1" applyAlignment="1">
      <alignment horizontal="center" vertical="center" wrapText="1"/>
    </xf>
    <xf numFmtId="0" fontId="92" fillId="2" borderId="2" xfId="0" applyFont="1" applyFill="1" applyBorder="1" applyAlignment="1">
      <alignment horizontal="center" vertical="center" wrapText="1"/>
    </xf>
    <xf numFmtId="0" fontId="63" fillId="0" borderId="19" xfId="0" applyFont="1" applyBorder="1" applyAlignment="1">
      <alignment horizontal="center" vertical="center"/>
    </xf>
    <xf numFmtId="0" fontId="63" fillId="0" borderId="19" xfId="0" applyFont="1" applyBorder="1" applyAlignment="1">
      <alignment horizontal="center" vertical="center" wrapText="1"/>
    </xf>
    <xf numFmtId="0" fontId="63" fillId="0" borderId="20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93" fillId="0" borderId="2" xfId="0" applyFont="1" applyBorder="1" applyAlignment="1">
      <alignment horizontal="center" vertical="center"/>
    </xf>
    <xf numFmtId="0" fontId="94" fillId="0" borderId="2" xfId="0" applyFont="1" applyBorder="1" applyAlignment="1">
      <alignment horizontal="center" vertical="center" wrapText="1"/>
    </xf>
    <xf numFmtId="0" fontId="93" fillId="0" borderId="2" xfId="0" applyFont="1" applyBorder="1" applyAlignment="1">
      <alignment horizontal="center" vertical="center" wrapText="1"/>
    </xf>
    <xf numFmtId="0" fontId="89" fillId="2" borderId="2" xfId="0" applyFont="1" applyFill="1" applyBorder="1" applyAlignment="1">
      <alignment horizontal="center" vertical="center"/>
    </xf>
    <xf numFmtId="0" fontId="89" fillId="2" borderId="2" xfId="0" applyFont="1" applyFill="1" applyBorder="1" applyAlignment="1">
      <alignment horizontal="center" vertical="center" wrapText="1"/>
    </xf>
    <xf numFmtId="0" fontId="93" fillId="0" borderId="0" xfId="0" applyFont="1"/>
    <xf numFmtId="2" fontId="96" fillId="0" borderId="2" xfId="0" applyNumberFormat="1" applyFont="1" applyBorder="1" applyAlignment="1">
      <alignment horizontal="center" vertical="center" wrapText="1"/>
    </xf>
    <xf numFmtId="2" fontId="96" fillId="6" borderId="2" xfId="0" applyNumberFormat="1" applyFont="1" applyFill="1" applyBorder="1" applyAlignment="1">
      <alignment horizontal="center" vertical="center" wrapText="1"/>
    </xf>
    <xf numFmtId="9" fontId="20" fillId="0" borderId="2" xfId="1" applyFont="1" applyFill="1" applyBorder="1" applyAlignment="1" applyProtection="1">
      <alignment horizontal="center" vertical="center"/>
      <protection locked="0"/>
    </xf>
    <xf numFmtId="9" fontId="93" fillId="0" borderId="2" xfId="1" applyFont="1" applyFill="1" applyBorder="1" applyAlignment="1" applyProtection="1">
      <alignment horizontal="center" vertical="center"/>
      <protection locked="0"/>
    </xf>
    <xf numFmtId="10" fontId="93" fillId="0" borderId="2" xfId="0" applyNumberFormat="1" applyFont="1" applyBorder="1" applyAlignment="1" applyProtection="1">
      <alignment horizontal="center" vertical="center"/>
      <protection locked="0"/>
    </xf>
    <xf numFmtId="2" fontId="80" fillId="0" borderId="2" xfId="0" applyNumberFormat="1" applyFont="1" applyBorder="1" applyAlignment="1">
      <alignment horizontal="center" vertical="center" wrapText="1"/>
    </xf>
    <xf numFmtId="2" fontId="96" fillId="0" borderId="0" xfId="0" applyNumberFormat="1" applyFont="1" applyAlignment="1">
      <alignment horizontal="center" vertical="center" wrapText="1"/>
    </xf>
    <xf numFmtId="0" fontId="96" fillId="0" borderId="0" xfId="0" applyFont="1" applyAlignment="1">
      <alignment vertical="center" wrapText="1"/>
    </xf>
    <xf numFmtId="0" fontId="96" fillId="0" borderId="0" xfId="0" applyFont="1" applyAlignment="1">
      <alignment horizontal="center" vertical="center" wrapText="1"/>
    </xf>
    <xf numFmtId="0" fontId="20" fillId="0" borderId="0" xfId="0" applyFont="1"/>
    <xf numFmtId="0" fontId="77" fillId="0" borderId="0" xfId="0" applyFont="1" applyAlignment="1">
      <alignment horizontal="center"/>
    </xf>
    <xf numFmtId="0" fontId="91" fillId="0" borderId="2" xfId="0" applyFont="1" applyBorder="1" applyAlignment="1">
      <alignment horizontal="center" vertical="center" wrapText="1"/>
    </xf>
    <xf numFmtId="170" fontId="96" fillId="0" borderId="2" xfId="0" applyNumberFormat="1" applyFont="1" applyBorder="1" applyAlignment="1">
      <alignment horizontal="center" vertical="center" wrapText="1"/>
    </xf>
    <xf numFmtId="0" fontId="96" fillId="0" borderId="2" xfId="0" applyFont="1" applyBorder="1" applyAlignment="1">
      <alignment wrapText="1"/>
    </xf>
    <xf numFmtId="0" fontId="80" fillId="0" borderId="2" xfId="0" applyFont="1" applyBorder="1" applyAlignment="1">
      <alignment wrapText="1"/>
    </xf>
    <xf numFmtId="4" fontId="63" fillId="0" borderId="2" xfId="0" applyNumberFormat="1" applyFont="1" applyBorder="1" applyAlignment="1">
      <alignment horizontal="center" vertical="center" wrapText="1"/>
    </xf>
    <xf numFmtId="168" fontId="63" fillId="0" borderId="2" xfId="0" applyNumberFormat="1" applyFont="1" applyBorder="1" applyAlignment="1">
      <alignment horizontal="center" vertical="center" wrapText="1"/>
    </xf>
    <xf numFmtId="4" fontId="77" fillId="0" borderId="0" xfId="0" applyNumberFormat="1" applyFont="1"/>
    <xf numFmtId="168" fontId="77" fillId="0" borderId="0" xfId="0" applyNumberFormat="1" applyFont="1"/>
    <xf numFmtId="0" fontId="77" fillId="0" borderId="0" xfId="0" applyFont="1" applyAlignment="1">
      <alignment horizontal="center" wrapText="1"/>
    </xf>
    <xf numFmtId="0" fontId="63" fillId="0" borderId="2" xfId="0" applyFont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center" wrapText="1"/>
    </xf>
    <xf numFmtId="9" fontId="77" fillId="0" borderId="0" xfId="0" applyNumberFormat="1" applyFont="1"/>
    <xf numFmtId="2" fontId="77" fillId="0" borderId="0" xfId="0" applyNumberFormat="1" applyFont="1"/>
    <xf numFmtId="0" fontId="63" fillId="0" borderId="2" xfId="0" applyFont="1" applyBorder="1" applyAlignment="1">
      <alignment horizontal="center" vertical="center"/>
    </xf>
    <xf numFmtId="4" fontId="63" fillId="6" borderId="2" xfId="0" applyNumberFormat="1" applyFont="1" applyFill="1" applyBorder="1" applyAlignment="1">
      <alignment horizontal="center" vertical="center" wrapText="1"/>
    </xf>
    <xf numFmtId="10" fontId="63" fillId="0" borderId="2" xfId="0" applyNumberFormat="1" applyFont="1" applyBorder="1" applyAlignment="1">
      <alignment horizontal="center" vertical="center" wrapText="1"/>
    </xf>
    <xf numFmtId="2" fontId="14" fillId="2" borderId="7" xfId="0" applyNumberFormat="1" applyFont="1" applyFill="1" applyBorder="1" applyAlignment="1">
      <alignment horizontal="center"/>
    </xf>
    <xf numFmtId="2" fontId="14" fillId="2" borderId="27" xfId="0" applyNumberFormat="1" applyFont="1" applyFill="1" applyBorder="1" applyAlignment="1">
      <alignment horizontal="center"/>
    </xf>
    <xf numFmtId="2" fontId="14" fillId="2" borderId="8" xfId="0" applyNumberFormat="1" applyFont="1" applyFill="1" applyBorder="1" applyAlignment="1">
      <alignment horizontal="center"/>
    </xf>
    <xf numFmtId="2" fontId="15" fillId="2" borderId="2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28" fillId="0" borderId="0" xfId="0" applyFont="1" applyAlignment="1" applyProtection="1">
      <alignment horizontal="left" vertical="center" wrapText="1"/>
      <protection locked="0"/>
    </xf>
    <xf numFmtId="0" fontId="28" fillId="0" borderId="26" xfId="0" applyFont="1" applyBorder="1" applyAlignment="1" applyProtection="1">
      <alignment horizontal="left" vertical="center" wrapText="1"/>
      <protection locked="0"/>
    </xf>
    <xf numFmtId="0" fontId="29" fillId="0" borderId="16" xfId="0" applyFont="1" applyBorder="1" applyAlignment="1">
      <alignment horizontal="center" vertical="center"/>
    </xf>
    <xf numFmtId="0" fontId="15" fillId="2" borderId="32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 wrapText="1"/>
    </xf>
    <xf numFmtId="0" fontId="45" fillId="6" borderId="4" xfId="0" applyFont="1" applyFill="1" applyBorder="1" applyAlignment="1">
      <alignment wrapText="1"/>
    </xf>
    <xf numFmtId="0" fontId="45" fillId="6" borderId="13" xfId="0" applyFont="1" applyFill="1" applyBorder="1" applyAlignment="1">
      <alignment wrapText="1"/>
    </xf>
    <xf numFmtId="4" fontId="45" fillId="6" borderId="4" xfId="0" applyNumberFormat="1" applyFont="1" applyFill="1" applyBorder="1" applyAlignment="1">
      <alignment horizontal="center" vertical="center" wrapText="1"/>
    </xf>
    <xf numFmtId="4" fontId="45" fillId="6" borderId="15" xfId="0" applyNumberFormat="1" applyFont="1" applyFill="1" applyBorder="1" applyAlignment="1">
      <alignment horizontal="center" vertical="center" wrapText="1"/>
    </xf>
    <xf numFmtId="4" fontId="45" fillId="6" borderId="13" xfId="0" applyNumberFormat="1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left" wrapText="1"/>
    </xf>
    <xf numFmtId="0" fontId="45" fillId="0" borderId="13" xfId="0" applyFont="1" applyBorder="1" applyAlignment="1">
      <alignment horizontal="left" wrapText="1"/>
    </xf>
    <xf numFmtId="0" fontId="24" fillId="2" borderId="4" xfId="0" applyFont="1" applyFill="1" applyBorder="1" applyAlignment="1">
      <alignment horizontal="left" vertical="center" wrapText="1"/>
    </xf>
    <xf numFmtId="0" fontId="24" fillId="2" borderId="13" xfId="0" applyFont="1" applyFill="1" applyBorder="1" applyAlignment="1">
      <alignment horizontal="left" vertical="center" wrapText="1"/>
    </xf>
    <xf numFmtId="0" fontId="47" fillId="0" borderId="2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left" wrapText="1"/>
    </xf>
    <xf numFmtId="0" fontId="45" fillId="6" borderId="15" xfId="0" applyFont="1" applyFill="1" applyBorder="1" applyAlignment="1">
      <alignment horizontal="left" wrapText="1"/>
    </xf>
    <xf numFmtId="0" fontId="45" fillId="6" borderId="13" xfId="0" applyFont="1" applyFill="1" applyBorder="1" applyAlignment="1">
      <alignment horizontal="left" wrapText="1"/>
    </xf>
    <xf numFmtId="0" fontId="7" fillId="0" borderId="31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45" fillId="6" borderId="2" xfId="0" applyFont="1" applyFill="1" applyBorder="1" applyAlignment="1">
      <alignment horizontal="left" wrapText="1"/>
    </xf>
    <xf numFmtId="0" fontId="15" fillId="0" borderId="2" xfId="0" applyFont="1" applyBorder="1" applyAlignment="1">
      <alignment horizontal="left" vertical="top" wrapText="1"/>
    </xf>
    <xf numFmtId="0" fontId="45" fillId="0" borderId="2" xfId="0" applyFont="1" applyBorder="1" applyAlignment="1">
      <alignment horizontal="left" vertical="top" wrapText="1"/>
    </xf>
    <xf numFmtId="0" fontId="15" fillId="2" borderId="2" xfId="0" applyFont="1" applyFill="1" applyBorder="1" applyAlignment="1">
      <alignment horizontal="left" vertical="center" wrapText="1"/>
    </xf>
    <xf numFmtId="0" fontId="45" fillId="2" borderId="2" xfId="0" applyFont="1" applyFill="1" applyBorder="1" applyAlignment="1">
      <alignment horizontal="left" vertical="center" wrapText="1"/>
    </xf>
    <xf numFmtId="0" fontId="46" fillId="0" borderId="15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24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right" vertical="center" wrapText="1"/>
    </xf>
    <xf numFmtId="0" fontId="45" fillId="2" borderId="2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45" fillId="2" borderId="13" xfId="0" applyFont="1" applyFill="1" applyBorder="1" applyAlignment="1">
      <alignment horizontal="right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/>
    </xf>
    <xf numFmtId="0" fontId="43" fillId="0" borderId="15" xfId="0" applyFont="1" applyBorder="1" applyAlignment="1">
      <alignment horizontal="center"/>
    </xf>
    <xf numFmtId="0" fontId="43" fillId="0" borderId="1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5" fillId="6" borderId="2" xfId="0" applyFont="1" applyFill="1" applyBorder="1" applyAlignment="1">
      <alignment horizontal="left"/>
    </xf>
    <xf numFmtId="0" fontId="45" fillId="6" borderId="2" xfId="0" applyFont="1" applyFill="1" applyBorder="1" applyAlignment="1">
      <alignment horizontal="left"/>
    </xf>
    <xf numFmtId="0" fontId="24" fillId="6" borderId="2" xfId="0" applyFont="1" applyFill="1" applyBorder="1" applyAlignment="1">
      <alignment horizontal="left" vertical="center" wrapText="1"/>
    </xf>
    <xf numFmtId="0" fontId="45" fillId="2" borderId="13" xfId="0" applyFont="1" applyFill="1" applyBorder="1" applyAlignment="1">
      <alignment horizontal="left" vertical="center" wrapText="1"/>
    </xf>
    <xf numFmtId="0" fontId="60" fillId="6" borderId="4" xfId="0" applyFont="1" applyFill="1" applyBorder="1" applyAlignment="1">
      <alignment horizontal="left" vertical="center" wrapText="1"/>
    </xf>
    <xf numFmtId="0" fontId="60" fillId="6" borderId="13" xfId="0" applyFont="1" applyFill="1" applyBorder="1" applyAlignment="1">
      <alignment horizontal="left" vertical="center" wrapText="1"/>
    </xf>
    <xf numFmtId="0" fontId="45" fillId="2" borderId="4" xfId="0" applyFont="1" applyFill="1" applyBorder="1" applyAlignment="1">
      <alignment horizontal="right" vertical="center" wrapText="1"/>
    </xf>
    <xf numFmtId="0" fontId="49" fillId="6" borderId="4" xfId="0" applyFont="1" applyFill="1" applyBorder="1" applyAlignment="1">
      <alignment horizontal="center" vertical="center" wrapText="1"/>
    </xf>
    <xf numFmtId="0" fontId="49" fillId="6" borderId="13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/>
    </xf>
    <xf numFmtId="0" fontId="45" fillId="0" borderId="2" xfId="0" applyFont="1" applyBorder="1" applyAlignment="1">
      <alignment horizontal="center" vertical="center"/>
    </xf>
    <xf numFmtId="0" fontId="67" fillId="0" borderId="4" xfId="0" applyFont="1" applyBorder="1" applyAlignment="1">
      <alignment horizontal="left" vertical="center" wrapText="1"/>
    </xf>
    <xf numFmtId="0" fontId="67" fillId="0" borderId="13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65" fillId="0" borderId="4" xfId="0" applyFont="1" applyBorder="1" applyAlignment="1">
      <alignment horizontal="right" wrapText="1"/>
    </xf>
    <xf numFmtId="0" fontId="65" fillId="0" borderId="13" xfId="0" applyFont="1" applyBorder="1" applyAlignment="1">
      <alignment horizontal="right" wrapText="1"/>
    </xf>
    <xf numFmtId="0" fontId="15" fillId="0" borderId="32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5" fillId="6" borderId="2" xfId="0" applyFont="1" applyFill="1" applyBorder="1" applyAlignment="1">
      <alignment horizontal="left" wrapText="1"/>
    </xf>
    <xf numFmtId="0" fontId="15" fillId="0" borderId="16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15" fillId="0" borderId="2" xfId="0" applyFont="1" applyBorder="1" applyAlignment="1">
      <alignment horizontal="left" wrapText="1"/>
    </xf>
    <xf numFmtId="0" fontId="15" fillId="0" borderId="15" xfId="0" applyFont="1" applyBorder="1" applyAlignment="1">
      <alignment horizontal="left" wrapText="1"/>
    </xf>
    <xf numFmtId="0" fontId="15" fillId="0" borderId="13" xfId="0" applyFont="1" applyBorder="1" applyAlignment="1">
      <alignment horizontal="left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15" xfId="0" applyNumberFormat="1" applyFont="1" applyBorder="1" applyAlignment="1">
      <alignment horizontal="center" vertical="center" wrapText="1"/>
    </xf>
    <xf numFmtId="4" fontId="15" fillId="0" borderId="13" xfId="0" applyNumberFormat="1" applyFont="1" applyBorder="1" applyAlignment="1">
      <alignment horizontal="center" vertical="center" wrapText="1"/>
    </xf>
    <xf numFmtId="0" fontId="69" fillId="0" borderId="16" xfId="0" applyFont="1" applyBorder="1" applyAlignment="1">
      <alignment vertical="center" wrapText="1"/>
    </xf>
    <xf numFmtId="0" fontId="69" fillId="0" borderId="2" xfId="0" applyFont="1" applyBorder="1" applyAlignment="1">
      <alignment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14" xfId="0" applyFont="1" applyBorder="1" applyAlignment="1">
      <alignment horizontal="left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left" wrapText="1"/>
    </xf>
    <xf numFmtId="0" fontId="63" fillId="0" borderId="16" xfId="0" applyFont="1" applyBorder="1" applyAlignment="1">
      <alignment vertical="center" wrapText="1"/>
    </xf>
    <xf numFmtId="0" fontId="63" fillId="0" borderId="2" xfId="0" applyFont="1" applyBorder="1" applyAlignment="1">
      <alignment vertical="center" wrapText="1"/>
    </xf>
    <xf numFmtId="0" fontId="63" fillId="0" borderId="32" xfId="0" applyFont="1" applyBorder="1" applyAlignment="1">
      <alignment vertical="center" wrapText="1"/>
    </xf>
    <xf numFmtId="0" fontId="63" fillId="0" borderId="13" xfId="0" applyFont="1" applyBorder="1" applyAlignment="1">
      <alignment vertical="center" wrapText="1"/>
    </xf>
    <xf numFmtId="0" fontId="95" fillId="0" borderId="2" xfId="0" applyFont="1" applyBorder="1" applyAlignment="1">
      <alignment horizontal="left" vertical="center" wrapText="1"/>
    </xf>
    <xf numFmtId="0" fontId="63" fillId="0" borderId="4" xfId="0" applyFont="1" applyBorder="1" applyAlignment="1">
      <alignment horizontal="center" vertical="center" wrapText="1"/>
    </xf>
    <xf numFmtId="0" fontId="63" fillId="0" borderId="13" xfId="0" applyFont="1" applyBorder="1" applyAlignment="1">
      <alignment horizontal="center" vertical="center" wrapText="1"/>
    </xf>
    <xf numFmtId="0" fontId="87" fillId="0" borderId="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3" xfId="0" applyFont="1" applyBorder="1" applyAlignment="1">
      <alignment horizontal="center"/>
    </xf>
    <xf numFmtId="0" fontId="63" fillId="0" borderId="2" xfId="0" applyFont="1" applyBorder="1" applyAlignment="1">
      <alignment horizontal="center" vertical="center" wrapText="1"/>
    </xf>
    <xf numFmtId="0" fontId="90" fillId="0" borderId="2" xfId="0" applyFont="1" applyBorder="1" applyAlignment="1">
      <alignment horizontal="center" vertical="center"/>
    </xf>
    <xf numFmtId="0" fontId="89" fillId="0" borderId="4" xfId="0" applyFont="1" applyBorder="1" applyAlignment="1">
      <alignment horizontal="center" vertical="center"/>
    </xf>
    <xf numFmtId="0" fontId="89" fillId="0" borderId="15" xfId="0" applyFont="1" applyBorder="1" applyAlignment="1">
      <alignment horizontal="center" vertical="center"/>
    </xf>
    <xf numFmtId="0" fontId="89" fillId="0" borderId="13" xfId="0" applyFont="1" applyBorder="1" applyAlignment="1">
      <alignment horizontal="center" vertical="center"/>
    </xf>
    <xf numFmtId="0" fontId="63" fillId="0" borderId="5" xfId="0" applyFont="1" applyBorder="1" applyAlignment="1">
      <alignment horizontal="left" vertical="top" wrapText="1"/>
    </xf>
    <xf numFmtId="0" fontId="92" fillId="2" borderId="4" xfId="0" applyFont="1" applyFill="1" applyBorder="1" applyAlignment="1">
      <alignment horizontal="center" vertical="center" wrapText="1"/>
    </xf>
    <xf numFmtId="0" fontId="92" fillId="2" borderId="15" xfId="0" applyFont="1" applyFill="1" applyBorder="1" applyAlignment="1">
      <alignment horizontal="center" vertical="center" wrapText="1"/>
    </xf>
    <xf numFmtId="0" fontId="92" fillId="2" borderId="13" xfId="0" applyFont="1" applyFill="1" applyBorder="1" applyAlignment="1">
      <alignment horizontal="center" vertical="center" wrapText="1"/>
    </xf>
    <xf numFmtId="0" fontId="84" fillId="2" borderId="5" xfId="0" applyFont="1" applyFill="1" applyBorder="1" applyAlignment="1">
      <alignment horizontal="center" vertical="center" wrapText="1"/>
    </xf>
    <xf numFmtId="0" fontId="84" fillId="2" borderId="3" xfId="0" applyFont="1" applyFill="1" applyBorder="1" applyAlignment="1">
      <alignment horizontal="center" vertical="center" wrapText="1"/>
    </xf>
    <xf numFmtId="0" fontId="95" fillId="0" borderId="4" xfId="0" applyFont="1" applyBorder="1" applyAlignment="1">
      <alignment horizontal="left" vertical="center" wrapText="1"/>
    </xf>
    <xf numFmtId="0" fontId="95" fillId="0" borderId="13" xfId="0" applyFont="1" applyBorder="1" applyAlignment="1">
      <alignment horizontal="left" vertical="center" wrapText="1"/>
    </xf>
    <xf numFmtId="0" fontId="80" fillId="0" borderId="4" xfId="0" applyFont="1" applyBorder="1" applyAlignment="1">
      <alignment horizontal="right" wrapText="1"/>
    </xf>
    <xf numFmtId="0" fontId="80" fillId="0" borderId="13" xfId="0" applyFont="1" applyBorder="1" applyAlignment="1">
      <alignment horizontal="right" wrapText="1"/>
    </xf>
    <xf numFmtId="0" fontId="63" fillId="0" borderId="6" xfId="0" applyFont="1" applyBorder="1" applyAlignment="1">
      <alignment horizontal="left"/>
    </xf>
    <xf numFmtId="0" fontId="63" fillId="0" borderId="9" xfId="0" applyFont="1" applyBorder="1" applyAlignment="1">
      <alignment horizontal="left"/>
    </xf>
    <xf numFmtId="0" fontId="63" fillId="0" borderId="14" xfId="0" applyFont="1" applyBorder="1" applyAlignment="1">
      <alignment horizontal="left"/>
    </xf>
    <xf numFmtId="0" fontId="89" fillId="0" borderId="2" xfId="0" applyFont="1" applyBorder="1" applyAlignment="1">
      <alignment horizontal="center" vertical="center" wrapText="1"/>
    </xf>
    <xf numFmtId="0" fontId="89" fillId="0" borderId="19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1" fillId="0" borderId="3" xfId="0" applyFont="1" applyBorder="1" applyAlignment="1">
      <alignment horizontal="center" vertical="center" wrapText="1"/>
    </xf>
    <xf numFmtId="0" fontId="78" fillId="5" borderId="2" xfId="0" applyFont="1" applyFill="1" applyBorder="1" applyAlignment="1">
      <alignment horizontal="center" vertical="center" wrapText="1"/>
    </xf>
    <xf numFmtId="0" fontId="79" fillId="10" borderId="2" xfId="0" applyFont="1" applyFill="1" applyBorder="1" applyAlignment="1">
      <alignment horizontal="center" vertical="center" wrapText="1"/>
    </xf>
    <xf numFmtId="0" fontId="86" fillId="0" borderId="0" xfId="0" applyFont="1" applyAlignment="1">
      <alignment horizontal="left"/>
    </xf>
    <xf numFmtId="0" fontId="87" fillId="0" borderId="21" xfId="0" applyFont="1" applyBorder="1" applyAlignment="1">
      <alignment horizontal="center"/>
    </xf>
    <xf numFmtId="0" fontId="87" fillId="0" borderId="22" xfId="0" applyFont="1" applyBorder="1" applyAlignment="1">
      <alignment horizontal="center"/>
    </xf>
    <xf numFmtId="0" fontId="87" fillId="0" borderId="23" xfId="0" applyFont="1" applyBorder="1" applyAlignment="1">
      <alignment horizontal="center"/>
    </xf>
    <xf numFmtId="0" fontId="63" fillId="0" borderId="16" xfId="0" applyFont="1" applyBorder="1" applyAlignment="1">
      <alignment horizontal="center" vertical="center"/>
    </xf>
    <xf numFmtId="0" fontId="63" fillId="0" borderId="18" xfId="0" applyFont="1" applyBorder="1" applyAlignment="1">
      <alignment horizontal="center" vertical="center"/>
    </xf>
    <xf numFmtId="0" fontId="89" fillId="0" borderId="19" xfId="0" applyFont="1" applyBorder="1" applyAlignment="1">
      <alignment horizontal="center" vertical="center"/>
    </xf>
    <xf numFmtId="0" fontId="90" fillId="0" borderId="4" xfId="0" applyFont="1" applyBorder="1" applyAlignment="1">
      <alignment horizontal="center" vertical="center"/>
    </xf>
    <xf numFmtId="0" fontId="90" fillId="0" borderId="15" xfId="0" applyFont="1" applyBorder="1" applyAlignment="1">
      <alignment horizontal="center" vertical="center"/>
    </xf>
    <xf numFmtId="0" fontId="90" fillId="0" borderId="24" xfId="0" applyFont="1" applyBorder="1" applyAlignment="1">
      <alignment horizontal="center" vertical="center"/>
    </xf>
    <xf numFmtId="0" fontId="63" fillId="0" borderId="2" xfId="0" applyFont="1" applyBorder="1" applyAlignment="1">
      <alignment horizontal="left" wrapText="1"/>
    </xf>
  </cellXfs>
  <cellStyles count="14">
    <cellStyle name="Dziesiętny" xfId="2" builtinId="3"/>
    <cellStyle name="Dziesiętny 2" xfId="8" xr:uid="{00000000-0005-0000-0000-000001000000}"/>
    <cellStyle name="Dziesiętny 2 2" xfId="12" xr:uid="{00000000-0005-0000-0000-000002000000}"/>
    <cellStyle name="Normal" xfId="11" xr:uid="{00000000-0005-0000-0000-000004000000}"/>
    <cellStyle name="Normalny" xfId="0" builtinId="0"/>
    <cellStyle name="Normalny 2" xfId="3" xr:uid="{00000000-0005-0000-0000-000006000000}"/>
    <cellStyle name="Normalny 2 2" xfId="9" xr:uid="{00000000-0005-0000-0000-000007000000}"/>
    <cellStyle name="Normalny 3" xfId="6" xr:uid="{00000000-0005-0000-0000-000008000000}"/>
    <cellStyle name="Normalny 3 2" xfId="13" xr:uid="{563CAFF7-92EA-415D-9643-022F5D955941}"/>
    <cellStyle name="Normalny 4" xfId="5" xr:uid="{00000000-0005-0000-0000-000009000000}"/>
    <cellStyle name="Procentowy" xfId="1" builtinId="5"/>
    <cellStyle name="Procentowy 2" xfId="4" xr:uid="{00000000-0005-0000-0000-00000B000000}"/>
    <cellStyle name="Procentowy 2 2" xfId="10" xr:uid="{00000000-0005-0000-0000-00000C000000}"/>
    <cellStyle name="Procentowy 3" xfId="7" xr:uid="{00000000-0005-0000-0000-00000D000000}"/>
  </cellStyles>
  <dxfs count="0"/>
  <tableStyles count="0" defaultTableStyle="TableStyleMedium9" defaultPivotStyle="PivotStyleLight16"/>
  <colors>
    <mruColors>
      <color rgb="FF32D214"/>
      <color rgb="FFFF6E47"/>
      <color rgb="FFFF5050"/>
      <color rgb="FF32C210"/>
      <color rgb="FF32F014"/>
      <color rgb="FF41E396"/>
      <color rgb="FF007800"/>
      <color rgb="FF000000"/>
      <color rgb="FF19D76F"/>
      <color rgb="FF00F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gsinspace\f\OneDrive%20-%20Piotr%20Sta&#324;czuk%20Ecovidi\Lord%20Vader\Suski%20Powiat%20PGN%20aktual\Miasto%20Jordan&#243;w\Opracowanie\Za&#322;&#261;cznik%201.%20Baza%20inwentaryzacji%20emisji%20(BEI)%20-%20Miasto%20Jordan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isja"/>
      <sheetName val="Z"/>
      <sheetName val="Wskażniki emisji"/>
      <sheetName val="Założenia"/>
      <sheetName val="Bud.gminne 2015 "/>
      <sheetName val="Bud.gminne 2019"/>
      <sheetName val="Oświetlenie, en.elektr. 2015"/>
      <sheetName val="Oświetlenie, en.elektr. 2019"/>
      <sheetName val="Mieszkalnictwo 2015"/>
      <sheetName val="Mieszkalnictwo 2019"/>
      <sheetName val="Mieszkalne emisja, energia"/>
      <sheetName val="Działalność gospodarcza 2015"/>
      <sheetName val="Działalność gospodarcza 2019"/>
      <sheetName val="Działalność gospodarcza 204"/>
      <sheetName val="Przedsiębiorcy, przemysł"/>
      <sheetName val="Przemy"/>
      <sheetName val="Pozostałe"/>
      <sheetName val="Arkusz2"/>
      <sheetName val="Transport 2015"/>
      <sheetName val="Transport 2019"/>
      <sheetName val="Energia łącznie 2019"/>
      <sheetName val="Paliwa łącznie 2019"/>
      <sheetName val="Emisja łącznie 2019"/>
      <sheetName val="Efekt eko. łącznie"/>
      <sheetName val="efekt. eko - transport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8">
          <cell r="C28">
            <v>7799.2327999999989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8">
          <cell r="B8">
            <v>21.843440462915812</v>
          </cell>
          <cell r="C8">
            <v>17.293896523779235</v>
          </cell>
          <cell r="D8">
            <v>3064.6588611007905</v>
          </cell>
          <cell r="E8">
            <v>8.4187068100368915E-3</v>
          </cell>
          <cell r="F8">
            <v>11.843293048552894</v>
          </cell>
          <cell r="G8">
            <v>6.0529323687836003</v>
          </cell>
          <cell r="H8">
            <v>194.8277723926029</v>
          </cell>
        </row>
        <row r="9">
          <cell r="B9">
            <v>0.47088611446649997</v>
          </cell>
          <cell r="C9">
            <v>0.47088611446649997</v>
          </cell>
          <cell r="D9">
            <v>6006.0482731821003</v>
          </cell>
          <cell r="E9">
            <v>1.5977223819989997E-5</v>
          </cell>
          <cell r="F9">
            <v>3.6015257884799999E-2</v>
          </cell>
          <cell r="G9">
            <v>35.072244121274998</v>
          </cell>
          <cell r="H9">
            <v>110.022788609988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7"/>
  <sheetViews>
    <sheetView view="pageBreakPreview" zoomScaleNormal="100" zoomScaleSheetLayoutView="100" workbookViewId="0">
      <selection activeCell="M21" sqref="M21"/>
    </sheetView>
  </sheetViews>
  <sheetFormatPr defaultColWidth="9" defaultRowHeight="11.4"/>
  <cols>
    <col min="1" max="1" width="44.59765625" style="5" customWidth="1"/>
    <col min="2" max="3" width="9.09765625" style="5" bestFit="1" customWidth="1"/>
    <col min="4" max="4" width="9.59765625" style="5" bestFit="1" customWidth="1"/>
    <col min="5" max="8" width="9.09765625" style="5" bestFit="1" customWidth="1"/>
    <col min="9" max="9" width="9.09765625" style="5" customWidth="1"/>
    <col min="10" max="10" width="12" style="5" customWidth="1"/>
    <col min="11" max="11" width="9" style="5" customWidth="1"/>
    <col min="12" max="16384" width="9" style="5"/>
  </cols>
  <sheetData>
    <row r="1" spans="1:9" ht="28.5" customHeight="1">
      <c r="A1" s="289" t="s">
        <v>196</v>
      </c>
      <c r="B1" s="290"/>
      <c r="C1" s="290"/>
      <c r="D1" s="290"/>
      <c r="E1" s="290"/>
      <c r="F1" s="290"/>
      <c r="G1" s="290"/>
      <c r="H1" s="291"/>
    </row>
    <row r="2" spans="1:9" ht="15.6">
      <c r="A2" s="285" t="s">
        <v>195</v>
      </c>
      <c r="B2" s="286"/>
      <c r="C2" s="286"/>
      <c r="D2" s="286"/>
      <c r="E2" s="286"/>
      <c r="F2" s="286"/>
      <c r="G2" s="286"/>
      <c r="H2" s="287"/>
    </row>
    <row r="3" spans="1:9" ht="12">
      <c r="A3" s="288" t="s">
        <v>35</v>
      </c>
      <c r="B3" s="288"/>
      <c r="C3" s="288"/>
      <c r="D3" s="288"/>
      <c r="E3" s="288"/>
      <c r="F3" s="288"/>
      <c r="G3" s="288"/>
      <c r="H3" s="288"/>
    </row>
    <row r="4" spans="1:9" ht="12">
      <c r="A4" s="6"/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</row>
    <row r="5" spans="1:9" ht="12">
      <c r="A5" s="4" t="s">
        <v>27</v>
      </c>
      <c r="B5" s="8">
        <v>0.5</v>
      </c>
      <c r="C5" s="8">
        <v>0.5</v>
      </c>
      <c r="D5" s="8">
        <v>55820</v>
      </c>
      <c r="E5" s="8">
        <v>0</v>
      </c>
      <c r="F5" s="8">
        <v>0.5</v>
      </c>
      <c r="G5" s="8">
        <v>50</v>
      </c>
      <c r="H5" s="6">
        <v>26</v>
      </c>
    </row>
    <row r="6" spans="1:9" ht="12">
      <c r="A6" s="4" t="s">
        <v>26</v>
      </c>
      <c r="B6" s="8">
        <v>3</v>
      </c>
      <c r="C6" s="8">
        <v>3</v>
      </c>
      <c r="D6" s="8">
        <v>76590</v>
      </c>
      <c r="E6" s="8">
        <f>10/1000</f>
        <v>0.01</v>
      </c>
      <c r="F6" s="8">
        <v>140</v>
      </c>
      <c r="G6" s="8">
        <v>70</v>
      </c>
      <c r="H6" s="6">
        <v>57</v>
      </c>
    </row>
    <row r="7" spans="1:9" ht="12">
      <c r="A7" s="4" t="s">
        <v>28</v>
      </c>
      <c r="B7" s="8">
        <v>0</v>
      </c>
      <c r="C7" s="8">
        <v>0</v>
      </c>
      <c r="D7" s="8">
        <f>B17/3.6*1000000</f>
        <v>225555.55555555556</v>
      </c>
      <c r="E7" s="8">
        <v>0</v>
      </c>
      <c r="F7" s="8">
        <v>0</v>
      </c>
      <c r="G7" s="8">
        <v>0</v>
      </c>
      <c r="H7" s="8">
        <v>0</v>
      </c>
    </row>
    <row r="8" spans="1:9" ht="12">
      <c r="A8" s="4" t="s">
        <v>29</v>
      </c>
      <c r="B8" s="8">
        <v>0</v>
      </c>
      <c r="C8" s="8">
        <v>0</v>
      </c>
      <c r="D8" s="8">
        <v>9380</v>
      </c>
      <c r="E8" s="8">
        <v>0</v>
      </c>
      <c r="F8" s="8">
        <v>0</v>
      </c>
      <c r="G8" s="8">
        <v>0</v>
      </c>
      <c r="H8" s="8">
        <v>0</v>
      </c>
    </row>
    <row r="9" spans="1:9" ht="12">
      <c r="A9" s="288" t="s">
        <v>34</v>
      </c>
      <c r="B9" s="288"/>
      <c r="C9" s="288"/>
      <c r="D9" s="288"/>
      <c r="E9" s="288"/>
      <c r="F9" s="288"/>
      <c r="G9" s="288"/>
      <c r="H9" s="288"/>
    </row>
    <row r="10" spans="1:9" ht="12">
      <c r="A10" s="9"/>
      <c r="B10" s="7" t="s">
        <v>36</v>
      </c>
      <c r="C10" s="7" t="s">
        <v>37</v>
      </c>
      <c r="D10" s="7" t="s">
        <v>38</v>
      </c>
      <c r="E10" s="7" t="s">
        <v>39</v>
      </c>
      <c r="F10" s="7" t="s">
        <v>40</v>
      </c>
      <c r="G10" s="7" t="s">
        <v>41</v>
      </c>
      <c r="H10" s="7" t="s">
        <v>42</v>
      </c>
      <c r="I10" s="10"/>
    </row>
    <row r="11" spans="1:9" ht="12">
      <c r="A11" s="4" t="s">
        <v>30</v>
      </c>
      <c r="B11" s="6">
        <v>225</v>
      </c>
      <c r="C11" s="6">
        <v>201</v>
      </c>
      <c r="D11" s="6">
        <v>93740</v>
      </c>
      <c r="E11" s="6">
        <v>0.27</v>
      </c>
      <c r="F11" s="6">
        <v>900</v>
      </c>
      <c r="G11" s="6">
        <v>158</v>
      </c>
      <c r="H11" s="6">
        <v>4600</v>
      </c>
      <c r="I11" s="11"/>
    </row>
    <row r="12" spans="1:9" ht="12">
      <c r="A12" s="4" t="s">
        <v>31</v>
      </c>
      <c r="B12" s="12">
        <v>78</v>
      </c>
      <c r="C12" s="12">
        <v>70</v>
      </c>
      <c r="D12" s="12">
        <f>D11</f>
        <v>93740</v>
      </c>
      <c r="E12" s="12">
        <f>7.9/1000</f>
        <v>7.9000000000000008E-3</v>
      </c>
      <c r="F12" s="12">
        <v>450</v>
      </c>
      <c r="G12" s="12">
        <v>165</v>
      </c>
      <c r="H12" s="6">
        <v>246.88</v>
      </c>
      <c r="I12" s="11"/>
    </row>
    <row r="13" spans="1:9" ht="12">
      <c r="A13" s="288" t="s">
        <v>44</v>
      </c>
      <c r="B13" s="288"/>
      <c r="C13" s="288"/>
      <c r="D13" s="288"/>
      <c r="E13" s="288"/>
      <c r="F13" s="288"/>
      <c r="G13" s="288"/>
      <c r="H13" s="288"/>
    </row>
    <row r="14" spans="1:9" ht="12">
      <c r="A14" s="4" t="s">
        <v>30</v>
      </c>
      <c r="B14" s="12">
        <v>480</v>
      </c>
      <c r="C14" s="12">
        <v>470</v>
      </c>
      <c r="D14" s="12">
        <v>0</v>
      </c>
      <c r="E14" s="12">
        <v>0.121</v>
      </c>
      <c r="F14" s="12">
        <v>11</v>
      </c>
      <c r="G14" s="12">
        <v>80</v>
      </c>
      <c r="H14" s="6">
        <v>4000</v>
      </c>
      <c r="I14" s="11"/>
    </row>
    <row r="15" spans="1:9" ht="12">
      <c r="A15" s="4" t="s">
        <v>31</v>
      </c>
      <c r="B15" s="12">
        <v>34</v>
      </c>
      <c r="C15" s="12">
        <v>33</v>
      </c>
      <c r="D15" s="12">
        <v>0</v>
      </c>
      <c r="E15" s="12">
        <f>10/1000</f>
        <v>0.01</v>
      </c>
      <c r="F15" s="12">
        <v>11</v>
      </c>
      <c r="G15" s="12">
        <v>91</v>
      </c>
      <c r="H15" s="6">
        <v>246.88</v>
      </c>
      <c r="I15" s="11"/>
    </row>
    <row r="17" spans="1:3">
      <c r="A17" s="5" t="s">
        <v>192</v>
      </c>
      <c r="B17" s="184">
        <v>0.81200000000000006</v>
      </c>
      <c r="C17" s="5" t="s">
        <v>45</v>
      </c>
    </row>
  </sheetData>
  <mergeCells count="5">
    <mergeCell ref="A2:H2"/>
    <mergeCell ref="A3:H3"/>
    <mergeCell ref="A9:H9"/>
    <mergeCell ref="A13:H13"/>
    <mergeCell ref="A1:H1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76"/>
  <sheetViews>
    <sheetView view="pageBreakPreview" zoomScale="145" zoomScaleNormal="100" zoomScaleSheetLayoutView="145" workbookViewId="0">
      <pane xSplit="1" ySplit="3" topLeftCell="B13" activePane="bottomRight" state="frozen"/>
      <selection pane="topRight" activeCell="D1" sqref="D1"/>
      <selection pane="bottomLeft" activeCell="A5" sqref="A5"/>
      <selection pane="bottomRight" activeCell="I10" sqref="I10"/>
    </sheetView>
  </sheetViews>
  <sheetFormatPr defaultColWidth="9" defaultRowHeight="6.6"/>
  <cols>
    <col min="1" max="1" width="1.69921875" style="43" bestFit="1" customWidth="1"/>
    <col min="2" max="2" width="18.59765625" style="96" bestFit="1" customWidth="1"/>
    <col min="3" max="3" width="5.09765625" style="69" customWidth="1"/>
    <col min="4" max="4" width="6.59765625" style="43" customWidth="1"/>
    <col min="5" max="5" width="9.19921875" style="43" bestFit="1" customWidth="1"/>
    <col min="6" max="6" width="5.3984375" style="43" bestFit="1" customWidth="1"/>
    <col min="7" max="7" width="8.5" style="43" bestFit="1" customWidth="1"/>
    <col min="8" max="8" width="19.3984375" style="43" customWidth="1"/>
    <col min="9" max="9" width="7.8984375" style="43" customWidth="1"/>
    <col min="10" max="10" width="4.19921875" style="43" customWidth="1"/>
    <col min="11" max="13" width="6" style="43" customWidth="1"/>
    <col min="14" max="14" width="5.5" style="43" customWidth="1"/>
    <col min="15" max="16" width="5" style="43" customWidth="1"/>
    <col min="17" max="17" width="7.59765625" style="43" bestFit="1" customWidth="1"/>
    <col min="18" max="18" width="7.3984375" style="43" customWidth="1"/>
    <col min="19" max="19" width="6.3984375" style="43" hidden="1" customWidth="1"/>
    <col min="20" max="16384" width="9" style="43"/>
  </cols>
  <sheetData>
    <row r="1" spans="1:20" ht="20.25" customHeight="1" thickBot="1">
      <c r="A1" s="296" t="s">
        <v>112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7"/>
    </row>
    <row r="2" spans="1:20" s="49" customFormat="1" ht="46.2" thickBot="1">
      <c r="A2" s="44" t="s">
        <v>2</v>
      </c>
      <c r="B2" s="45" t="s">
        <v>47</v>
      </c>
      <c r="C2" s="46" t="s">
        <v>5</v>
      </c>
      <c r="D2" s="46" t="s">
        <v>127</v>
      </c>
      <c r="E2" s="46" t="s">
        <v>48</v>
      </c>
      <c r="F2" s="46" t="s">
        <v>6</v>
      </c>
      <c r="G2" s="46" t="s">
        <v>8</v>
      </c>
      <c r="H2" s="46" t="s">
        <v>69</v>
      </c>
      <c r="I2" s="46" t="s">
        <v>46</v>
      </c>
      <c r="J2" s="46" t="s">
        <v>70</v>
      </c>
      <c r="K2" s="46" t="s">
        <v>71</v>
      </c>
      <c r="L2" s="46" t="s">
        <v>72</v>
      </c>
      <c r="M2" s="46" t="s">
        <v>73</v>
      </c>
      <c r="N2" s="46" t="s">
        <v>74</v>
      </c>
      <c r="O2" s="46" t="s">
        <v>75</v>
      </c>
      <c r="P2" s="46" t="s">
        <v>76</v>
      </c>
      <c r="Q2" s="46" t="s">
        <v>20</v>
      </c>
      <c r="R2" s="47" t="s">
        <v>50</v>
      </c>
      <c r="S2" s="48" t="s">
        <v>51</v>
      </c>
    </row>
    <row r="3" spans="1:20" s="55" customFormat="1">
      <c r="A3" s="50">
        <v>1</v>
      </c>
      <c r="B3" s="51" t="s">
        <v>33</v>
      </c>
      <c r="C3" s="52">
        <v>3</v>
      </c>
      <c r="D3" s="52">
        <v>4</v>
      </c>
      <c r="E3" s="52">
        <v>5</v>
      </c>
      <c r="F3" s="52">
        <v>6</v>
      </c>
      <c r="G3" s="52">
        <v>7</v>
      </c>
      <c r="H3" s="52">
        <v>8</v>
      </c>
      <c r="I3" s="52">
        <v>9</v>
      </c>
      <c r="J3" s="52">
        <v>10</v>
      </c>
      <c r="K3" s="52">
        <v>11</v>
      </c>
      <c r="L3" s="52">
        <v>12</v>
      </c>
      <c r="M3" s="52">
        <v>13</v>
      </c>
      <c r="N3" s="52">
        <v>14</v>
      </c>
      <c r="O3" s="52">
        <v>15</v>
      </c>
      <c r="P3" s="52">
        <v>16</v>
      </c>
      <c r="Q3" s="52">
        <v>17</v>
      </c>
      <c r="R3" s="53">
        <v>18</v>
      </c>
      <c r="S3" s="54"/>
      <c r="T3" s="49"/>
    </row>
    <row r="4" spans="1:20" ht="13.2">
      <c r="A4" s="56">
        <v>1</v>
      </c>
      <c r="B4" s="57" t="s">
        <v>53</v>
      </c>
      <c r="C4" s="58">
        <v>1933</v>
      </c>
      <c r="D4" s="58">
        <v>760</v>
      </c>
      <c r="E4" s="59" t="s">
        <v>10</v>
      </c>
      <c r="F4" s="60" t="s">
        <v>4</v>
      </c>
      <c r="G4" s="61">
        <v>37</v>
      </c>
      <c r="H4" s="62" t="s">
        <v>43</v>
      </c>
      <c r="I4" s="63" t="e">
        <f>IF(F4="węgiel",G4*#REF!,IF(F4="gaz",G4*#REF!,IF(F4="biomasa",G4*#REF!,IF(F4="olej opałowy",G4*#REF!,IF(F4="sieć ciepłownicza",0,0)))))</f>
        <v>#REF!</v>
      </c>
      <c r="J4" s="62" t="e">
        <f>I4*'Wskażniki emisji'!$B$11/1000000</f>
        <v>#REF!</v>
      </c>
      <c r="K4" s="62" t="e">
        <f>I4*'Wskażniki emisji'!$C$11/1000000</f>
        <v>#REF!</v>
      </c>
      <c r="L4" s="62" t="e">
        <f>I4*'Wskażniki emisji'!$D$11/1000000</f>
        <v>#REF!</v>
      </c>
      <c r="M4" s="62" t="e">
        <f>I4*'Wskażniki emisji'!$E$11/1000000</f>
        <v>#REF!</v>
      </c>
      <c r="N4" s="62" t="e">
        <f>I4*'Wskażniki emisji'!$F$11/1000000</f>
        <v>#REF!</v>
      </c>
      <c r="O4" s="62" t="e">
        <f>I4*'Wskażniki emisji'!$G$11/1000000</f>
        <v>#REF!</v>
      </c>
      <c r="P4" s="62" t="e">
        <f>I4*'Wskażniki emisji'!$H$11/1000000</f>
        <v>#REF!</v>
      </c>
      <c r="Q4" s="63">
        <v>7.5</v>
      </c>
      <c r="R4" s="64" t="s">
        <v>9</v>
      </c>
      <c r="S4" s="65"/>
      <c r="T4" s="49"/>
    </row>
    <row r="5" spans="1:20" ht="13.2">
      <c r="A5" s="66">
        <v>2</v>
      </c>
      <c r="B5" s="57" t="s">
        <v>54</v>
      </c>
      <c r="C5" s="58">
        <v>1973</v>
      </c>
      <c r="D5" s="58">
        <v>500</v>
      </c>
      <c r="E5" s="59" t="s">
        <v>11</v>
      </c>
      <c r="F5" s="60" t="s">
        <v>4</v>
      </c>
      <c r="G5" s="61">
        <v>23</v>
      </c>
      <c r="H5" s="62" t="s">
        <v>43</v>
      </c>
      <c r="I5" s="63" t="e">
        <f>IF(F5="węgiel",G5*#REF!,IF(F5="gaz",G5*#REF!,IF(F5="biomasa",G5*#REF!,IF(F5="olej opałowy",G5*#REF!,IF(F5="sieć ciepłownicza",0,0)))))</f>
        <v>#REF!</v>
      </c>
      <c r="J5" s="62" t="e">
        <f>I5*'Wskażniki emisji'!$B$11/1000000</f>
        <v>#REF!</v>
      </c>
      <c r="K5" s="62" t="e">
        <f>I5*'Wskażniki emisji'!$C$11/1000000</f>
        <v>#REF!</v>
      </c>
      <c r="L5" s="62" t="e">
        <f>I5*'Wskażniki emisji'!$D$11/1000000</f>
        <v>#REF!</v>
      </c>
      <c r="M5" s="62" t="e">
        <f>I5*'Wskażniki emisji'!$E$11/1000000</f>
        <v>#REF!</v>
      </c>
      <c r="N5" s="62" t="e">
        <f>I5*'Wskażniki emisji'!$F$11/1000000</f>
        <v>#REF!</v>
      </c>
      <c r="O5" s="62" t="e">
        <f>I5*'Wskażniki emisji'!$G$11/1000000</f>
        <v>#REF!</v>
      </c>
      <c r="P5" s="62" t="e">
        <f>I5*'Wskażniki emisji'!$H$11/1000000</f>
        <v>#REF!</v>
      </c>
      <c r="Q5" s="63">
        <v>4.8</v>
      </c>
      <c r="R5" s="64" t="s">
        <v>9</v>
      </c>
      <c r="S5" s="65"/>
      <c r="T5" s="49"/>
    </row>
    <row r="6" spans="1:20">
      <c r="A6" s="56">
        <v>3</v>
      </c>
      <c r="B6" s="57" t="s">
        <v>55</v>
      </c>
      <c r="C6" s="58">
        <v>1965</v>
      </c>
      <c r="D6" s="58">
        <v>552.89</v>
      </c>
      <c r="E6" s="59" t="s">
        <v>11</v>
      </c>
      <c r="F6" s="60" t="s">
        <v>4</v>
      </c>
      <c r="G6" s="61">
        <v>10</v>
      </c>
      <c r="H6" s="62" t="s">
        <v>43</v>
      </c>
      <c r="I6" s="63" t="e">
        <f>IF(F6="węgiel",G6*#REF!,IF(F6="gaz",G6*#REF!,IF(F6="biomasa",G6*#REF!,IF(F6="olej opałowy",G6*#REF!,IF(F6="sieć ciepłownicza",0,0)))))</f>
        <v>#REF!</v>
      </c>
      <c r="J6" s="62" t="e">
        <f>I6*'Wskażniki emisji'!$B$11/1000000</f>
        <v>#REF!</v>
      </c>
      <c r="K6" s="62" t="e">
        <f>I6*'Wskażniki emisji'!$C$11/1000000</f>
        <v>#REF!</v>
      </c>
      <c r="L6" s="62" t="e">
        <f>I6*'Wskażniki emisji'!$D$11/1000000</f>
        <v>#REF!</v>
      </c>
      <c r="M6" s="62" t="e">
        <f>I6*'Wskażniki emisji'!$E$11/1000000</f>
        <v>#REF!</v>
      </c>
      <c r="N6" s="62" t="e">
        <f>I6*'Wskażniki emisji'!$F$11/1000000</f>
        <v>#REF!</v>
      </c>
      <c r="O6" s="62" t="e">
        <f>I6*'Wskażniki emisji'!$G$11/1000000</f>
        <v>#REF!</v>
      </c>
      <c r="P6" s="62" t="e">
        <f>I6*'Wskażniki emisji'!$H$11/1000000</f>
        <v>#REF!</v>
      </c>
      <c r="Q6" s="63">
        <v>4.2</v>
      </c>
      <c r="R6" s="64" t="s">
        <v>9</v>
      </c>
      <c r="S6" s="65"/>
      <c r="T6" s="49"/>
    </row>
    <row r="7" spans="1:20">
      <c r="A7" s="66">
        <v>4</v>
      </c>
      <c r="B7" s="57" t="s">
        <v>56</v>
      </c>
      <c r="C7" s="58"/>
      <c r="D7" s="58">
        <v>988.55</v>
      </c>
      <c r="E7" s="59" t="s">
        <v>11</v>
      </c>
      <c r="F7" s="60" t="s">
        <v>4</v>
      </c>
      <c r="G7" s="61">
        <v>20</v>
      </c>
      <c r="H7" s="62" t="s">
        <v>43</v>
      </c>
      <c r="I7" s="63" t="e">
        <f>IF(F7="węgiel",G7*#REF!,IF(F7="gaz",G7*#REF!,IF(F7="biomasa",G7*#REF!,IF(F7="olej opałowy",G7*#REF!,IF(F7="sieć ciepłownicza",0,0)))))</f>
        <v>#REF!</v>
      </c>
      <c r="J7" s="62" t="e">
        <f>I7*'Wskażniki emisji'!$B$11/1000000</f>
        <v>#REF!</v>
      </c>
      <c r="K7" s="62" t="e">
        <f>I7*'Wskażniki emisji'!$C$11/1000000</f>
        <v>#REF!</v>
      </c>
      <c r="L7" s="62" t="e">
        <f>I7*'Wskażniki emisji'!$D$11/1000000</f>
        <v>#REF!</v>
      </c>
      <c r="M7" s="62" t="e">
        <f>I7*'Wskażniki emisji'!$E$11/1000000</f>
        <v>#REF!</v>
      </c>
      <c r="N7" s="62" t="e">
        <f>I7*'Wskażniki emisji'!$F$11/1000000</f>
        <v>#REF!</v>
      </c>
      <c r="O7" s="62" t="e">
        <f>I7*'Wskażniki emisji'!$G$11/1000000</f>
        <v>#REF!</v>
      </c>
      <c r="P7" s="62" t="e">
        <f>I7*'Wskażniki emisji'!$H$11/1000000</f>
        <v>#REF!</v>
      </c>
      <c r="Q7" s="63">
        <v>18.5</v>
      </c>
      <c r="R7" s="64" t="s">
        <v>9</v>
      </c>
      <c r="S7" s="65"/>
      <c r="T7" s="49"/>
    </row>
    <row r="8" spans="1:20" s="130" customFormat="1" ht="13.2">
      <c r="A8" s="119">
        <v>5</v>
      </c>
      <c r="B8" s="120" t="s">
        <v>57</v>
      </c>
      <c r="C8" s="121">
        <v>1972</v>
      </c>
      <c r="D8" s="121">
        <v>3622.68</v>
      </c>
      <c r="E8" s="122" t="s">
        <v>10</v>
      </c>
      <c r="F8" s="123" t="s">
        <v>0</v>
      </c>
      <c r="G8" s="124">
        <v>180</v>
      </c>
      <c r="H8" s="125" t="s">
        <v>31</v>
      </c>
      <c r="I8" s="126" t="e">
        <f>IF(F8="węgiel",G8*#REF!,IF(F8="gaz",G8*#REF!,IF(F8="biomasa",G8*#REF!,IF(F8="olej opałowy",G8*#REF!,IF(F8="sieć ciepłownicza",0,0)))))</f>
        <v>#REF!</v>
      </c>
      <c r="J8" s="126" t="e">
        <f>$I$8*'Wskażniki emisji'!B15/1000000</f>
        <v>#REF!</v>
      </c>
      <c r="K8" s="125" t="e">
        <f>$I$8*'Wskażniki emisji'!C15/1000000</f>
        <v>#REF!</v>
      </c>
      <c r="L8" s="125" t="e">
        <f>$I$8*'Wskażniki emisji'!D15/1000000</f>
        <v>#REF!</v>
      </c>
      <c r="M8" s="125" t="e">
        <f>$I$8*'Wskażniki emisji'!E15/1000000</f>
        <v>#REF!</v>
      </c>
      <c r="N8" s="125" t="e">
        <f>$I$8*'Wskażniki emisji'!F15/1000000</f>
        <v>#REF!</v>
      </c>
      <c r="O8" s="125" t="e">
        <f>$I$8*'Wskażniki emisji'!G15/1000000</f>
        <v>#REF!</v>
      </c>
      <c r="P8" s="125" t="e">
        <f>$I$8*'Wskażniki emisji'!H15/1000000</f>
        <v>#REF!</v>
      </c>
      <c r="Q8" s="126">
        <v>17.5</v>
      </c>
      <c r="R8" s="127" t="s">
        <v>16</v>
      </c>
      <c r="S8" s="128"/>
      <c r="T8" s="129"/>
    </row>
    <row r="9" spans="1:20" s="130" customFormat="1">
      <c r="A9" s="131">
        <v>6</v>
      </c>
      <c r="B9" s="120" t="s">
        <v>58</v>
      </c>
      <c r="C9" s="121">
        <v>1972</v>
      </c>
      <c r="D9" s="121">
        <v>388</v>
      </c>
      <c r="E9" s="122" t="s">
        <v>11</v>
      </c>
      <c r="F9" s="123" t="s">
        <v>4</v>
      </c>
      <c r="G9" s="124">
        <v>15</v>
      </c>
      <c r="H9" s="125" t="s">
        <v>32</v>
      </c>
      <c r="I9" s="126" t="e">
        <f>IF(F9="węgiel",G9*#REF!,IF(F9="gaz",G9*#REF!,IF(F9="biomasa",G9*#REF!,IF(F9="olej opałowy",G9*#REF!,IF(F9="sieć ciepłownicza",0,0)))))</f>
        <v>#REF!</v>
      </c>
      <c r="J9" s="125" t="e">
        <f>$I$9*'Wskażniki emisji'!#REF!/1000000</f>
        <v>#REF!</v>
      </c>
      <c r="K9" s="125" t="e">
        <f>$I$9*'Wskażniki emisji'!#REF!/1000000</f>
        <v>#REF!</v>
      </c>
      <c r="L9" s="125" t="e">
        <f>$I$9*'Wskażniki emisji'!#REF!/1000000</f>
        <v>#REF!</v>
      </c>
      <c r="M9" s="125" t="e">
        <f>$I$9*'Wskażniki emisji'!#REF!/1000000</f>
        <v>#REF!</v>
      </c>
      <c r="N9" s="125" t="e">
        <f>$I$9*'Wskażniki emisji'!#REF!/1000000</f>
        <v>#REF!</v>
      </c>
      <c r="O9" s="125" t="e">
        <f>$I$9*'Wskażniki emisji'!#REF!/1000000</f>
        <v>#REF!</v>
      </c>
      <c r="P9" s="125" t="e">
        <f>$I$9*'Wskażniki emisji'!#REF!/1000000</f>
        <v>#REF!</v>
      </c>
      <c r="Q9" s="126">
        <v>5</v>
      </c>
      <c r="R9" s="127" t="s">
        <v>9</v>
      </c>
      <c r="S9" s="128"/>
      <c r="T9" s="129"/>
    </row>
    <row r="10" spans="1:20" s="130" customFormat="1" ht="13.2">
      <c r="A10" s="119">
        <v>7</v>
      </c>
      <c r="B10" s="120" t="s">
        <v>59</v>
      </c>
      <c r="C10" s="121">
        <v>1959</v>
      </c>
      <c r="D10" s="121">
        <v>4025.73</v>
      </c>
      <c r="E10" s="122" t="s">
        <v>10</v>
      </c>
      <c r="F10" s="123" t="s">
        <v>0</v>
      </c>
      <c r="G10" s="124">
        <v>266</v>
      </c>
      <c r="H10" s="125" t="s">
        <v>31</v>
      </c>
      <c r="I10" s="126" t="e">
        <f>IF(F10="węgiel",G10*#REF!,IF(F10="gaz",G10*#REF!,IF(F10="biomasa",G10*#REF!,IF(F10="olej opałowy",G10*#REF!,IF(F10="sieć ciepłownicza",0,0)))))</f>
        <v>#REF!</v>
      </c>
      <c r="J10" s="125" t="e">
        <f>$I$10*'Wskażniki emisji'!B15/1000000</f>
        <v>#REF!</v>
      </c>
      <c r="K10" s="125" t="e">
        <f>$I$10*'Wskażniki emisji'!C15/1000000</f>
        <v>#REF!</v>
      </c>
      <c r="L10" s="125" t="e">
        <f>$I$10*'Wskażniki emisji'!D15/1000000</f>
        <v>#REF!</v>
      </c>
      <c r="M10" s="125" t="e">
        <f>$I$10*'Wskażniki emisji'!E15/1000000</f>
        <v>#REF!</v>
      </c>
      <c r="N10" s="125" t="e">
        <f>$I$10*'Wskażniki emisji'!F15/1000000</f>
        <v>#REF!</v>
      </c>
      <c r="O10" s="125" t="e">
        <f>$I$10*'Wskażniki emisji'!G15/1000000</f>
        <v>#REF!</v>
      </c>
      <c r="P10" s="125" t="e">
        <f>$I$10*'Wskażniki emisji'!H15/1000000</f>
        <v>#REF!</v>
      </c>
      <c r="Q10" s="126">
        <v>113</v>
      </c>
      <c r="R10" s="127" t="s">
        <v>16</v>
      </c>
      <c r="S10" s="128"/>
      <c r="T10" s="129"/>
    </row>
    <row r="11" spans="1:20" s="130" customFormat="1" ht="15.75" customHeight="1">
      <c r="A11" s="131">
        <v>8</v>
      </c>
      <c r="B11" s="120" t="s">
        <v>60</v>
      </c>
      <c r="C11" s="121"/>
      <c r="D11" s="121">
        <v>780</v>
      </c>
      <c r="E11" s="122" t="s">
        <v>10</v>
      </c>
      <c r="F11" s="123" t="s">
        <v>4</v>
      </c>
      <c r="G11" s="124">
        <v>19.552690129589202</v>
      </c>
      <c r="H11" s="125" t="s">
        <v>43</v>
      </c>
      <c r="I11" s="126" t="e">
        <f>IF(F11="węgiel",G11*#REF!,IF(F11="gaz",G11*#REF!,IF(F11="biomasa",G11*#REF!,IF(F11="olej opałowy",G11*#REF!,IF(F11="sieć ciepłownicza",0,0)))))</f>
        <v>#REF!</v>
      </c>
      <c r="J11" s="125" t="e">
        <f>$I$11*'Wskażniki emisji'!#REF!/1000000</f>
        <v>#REF!</v>
      </c>
      <c r="K11" s="125" t="e">
        <f>$I$11*'Wskażniki emisji'!#REF!/1000000</f>
        <v>#REF!</v>
      </c>
      <c r="L11" s="125" t="e">
        <f>$I$11*'Wskażniki emisji'!#REF!/1000000</f>
        <v>#REF!</v>
      </c>
      <c r="M11" s="125" t="e">
        <f>$I$11*'Wskażniki emisji'!#REF!/1000000</f>
        <v>#REF!</v>
      </c>
      <c r="N11" s="125" t="e">
        <f>$I$11*'Wskażniki emisji'!#REF!/1000000</f>
        <v>#REF!</v>
      </c>
      <c r="O11" s="125" t="e">
        <f>$I$11*'Wskażniki emisji'!#REF!/1000000</f>
        <v>#REF!</v>
      </c>
      <c r="P11" s="125" t="e">
        <f>$I$11*'Wskażniki emisji'!#REF!/1000000</f>
        <v>#REF!</v>
      </c>
      <c r="Q11" s="126">
        <v>21</v>
      </c>
      <c r="R11" s="127" t="s">
        <v>9</v>
      </c>
      <c r="S11" s="128"/>
      <c r="T11" s="129"/>
    </row>
    <row r="12" spans="1:20" ht="13.2">
      <c r="A12" s="56">
        <v>9</v>
      </c>
      <c r="B12" s="57" t="s">
        <v>61</v>
      </c>
      <c r="C12" s="58"/>
      <c r="D12" s="58">
        <v>24</v>
      </c>
      <c r="E12" s="59" t="s">
        <v>10</v>
      </c>
      <c r="F12" s="60" t="s">
        <v>0</v>
      </c>
      <c r="G12" s="61">
        <v>0.5</v>
      </c>
      <c r="H12" s="62" t="s">
        <v>43</v>
      </c>
      <c r="I12" s="63" t="e">
        <f>IF(F12="węgiel",G12*#REF!,IF(F12="gaz",G12*#REF!,IF(F12="biomasa",G12*#REF!,IF(F12="olej opałowy",G12*#REF!,IF(F12="sieć ciepłownicza",0,0)))))</f>
        <v>#REF!</v>
      </c>
      <c r="J12" s="62" t="e">
        <f>I12*'Wskażniki emisji'!#REF!/1000000</f>
        <v>#REF!</v>
      </c>
      <c r="K12" s="62" t="e">
        <f>I12*'Wskażniki emisji'!#REF!/1000000</f>
        <v>#REF!</v>
      </c>
      <c r="L12" s="62" t="e">
        <f>I12*'Wskażniki emisji'!#REF!/1000000</f>
        <v>#REF!</v>
      </c>
      <c r="M12" s="62" t="e">
        <f>I12*'Wskażniki emisji'!#REF!/1000000</f>
        <v>#REF!</v>
      </c>
      <c r="N12" s="62" t="e">
        <f>I12*'Wskażniki emisji'!#REF!/1000000</f>
        <v>#REF!</v>
      </c>
      <c r="O12" s="62" t="e">
        <f>I12*'Wskażniki emisji'!#REF!/1000000</f>
        <v>#REF!</v>
      </c>
      <c r="P12" s="62" t="e">
        <f>I12*'Wskażniki emisji'!#REF!/1000000</f>
        <v>#REF!</v>
      </c>
      <c r="Q12" s="63">
        <v>1.8</v>
      </c>
      <c r="R12" s="64" t="s">
        <v>9</v>
      </c>
      <c r="S12" s="65"/>
      <c r="T12" s="49"/>
    </row>
    <row r="13" spans="1:20">
      <c r="A13" s="66">
        <v>10</v>
      </c>
      <c r="B13" s="57" t="s">
        <v>62</v>
      </c>
      <c r="C13" s="58">
        <v>1979</v>
      </c>
      <c r="D13" s="58">
        <v>649</v>
      </c>
      <c r="E13" s="59" t="s">
        <v>10</v>
      </c>
      <c r="F13" s="60" t="s">
        <v>4</v>
      </c>
      <c r="G13" s="61">
        <v>26</v>
      </c>
      <c r="H13" s="62" t="s">
        <v>32</v>
      </c>
      <c r="I13" s="63" t="e">
        <f>IF(F13="węgiel",G13*#REF!,IF(F13="gaz",G13*#REF!,IF(F13="biomasa",G13*#REF!,IF(F13="olej opałowy",G13*#REF!,IF(F13="sieć ciepłownicza",0,0)))))</f>
        <v>#REF!</v>
      </c>
      <c r="J13" s="62" t="e">
        <f>$I$13*'Wskażniki emisji'!#REF!/1000000</f>
        <v>#REF!</v>
      </c>
      <c r="K13" s="62" t="e">
        <f>$I$13*'Wskażniki emisji'!#REF!/1000000</f>
        <v>#REF!</v>
      </c>
      <c r="L13" s="62" t="e">
        <f>$I$13*'Wskażniki emisji'!#REF!/1000000</f>
        <v>#REF!</v>
      </c>
      <c r="M13" s="62" t="e">
        <f>$I$13*'Wskażniki emisji'!#REF!/1000000</f>
        <v>#REF!</v>
      </c>
      <c r="N13" s="62" t="e">
        <f>$I$13*'Wskażniki emisji'!#REF!/1000000</f>
        <v>#REF!</v>
      </c>
      <c r="O13" s="62" t="e">
        <f>$I$13*'Wskażniki emisji'!#REF!/1000000</f>
        <v>#REF!</v>
      </c>
      <c r="P13" s="62" t="e">
        <f>$I$13*'Wskażniki emisji'!#REF!/1000000</f>
        <v>#REF!</v>
      </c>
      <c r="Q13" s="63">
        <v>5.5</v>
      </c>
      <c r="R13" s="64" t="s">
        <v>9</v>
      </c>
      <c r="S13" s="65"/>
      <c r="T13" s="49"/>
    </row>
    <row r="14" spans="1:20" ht="19.8">
      <c r="A14" s="56">
        <v>11</v>
      </c>
      <c r="B14" s="57" t="s">
        <v>63</v>
      </c>
      <c r="C14" s="58">
        <v>2010</v>
      </c>
      <c r="D14" s="58">
        <v>506</v>
      </c>
      <c r="E14" s="59" t="s">
        <v>10</v>
      </c>
      <c r="F14" s="60" t="s">
        <v>4</v>
      </c>
      <c r="G14" s="61">
        <v>12</v>
      </c>
      <c r="H14" s="62" t="s">
        <v>32</v>
      </c>
      <c r="I14" s="63" t="e">
        <f>IF(F14="węgiel",G14*#REF!,IF(F14="gaz",G14*#REF!,IF(F14="biomasa",G14*#REF!,IF(F14="olej opałowy",G14*#REF!,IF(F14="sieć ciepłownicza",0,0)))))</f>
        <v>#REF!</v>
      </c>
      <c r="J14" s="62" t="e">
        <f>$I$14*'Wskażniki emisji'!#REF!/1000000</f>
        <v>#REF!</v>
      </c>
      <c r="K14" s="62" t="e">
        <f>$I$14*'Wskażniki emisji'!#REF!/1000000</f>
        <v>#REF!</v>
      </c>
      <c r="L14" s="62" t="e">
        <f>$I$14*'Wskażniki emisji'!#REF!/1000000</f>
        <v>#REF!</v>
      </c>
      <c r="M14" s="62" t="e">
        <f>$I$14*'Wskażniki emisji'!#REF!/1000000</f>
        <v>#REF!</v>
      </c>
      <c r="N14" s="62" t="e">
        <f>$I$14*'Wskażniki emisji'!#REF!/1000000</f>
        <v>#REF!</v>
      </c>
      <c r="O14" s="62" t="e">
        <f>$I$14*'Wskażniki emisji'!#REF!/1000000</f>
        <v>#REF!</v>
      </c>
      <c r="P14" s="62" t="e">
        <f>$I$14*'Wskażniki emisji'!#REF!/1000000</f>
        <v>#REF!</v>
      </c>
      <c r="Q14" s="63">
        <v>5.5</v>
      </c>
      <c r="R14" s="64" t="s">
        <v>9</v>
      </c>
      <c r="S14" s="65"/>
      <c r="T14" s="49"/>
    </row>
    <row r="15" spans="1:20" ht="8.25" customHeight="1">
      <c r="A15" s="298">
        <v>12</v>
      </c>
      <c r="B15" s="57" t="s">
        <v>64</v>
      </c>
      <c r="C15" s="58">
        <v>1958</v>
      </c>
      <c r="D15" s="58">
        <v>173</v>
      </c>
      <c r="E15" s="59" t="s">
        <v>11</v>
      </c>
      <c r="F15" s="60" t="s">
        <v>4</v>
      </c>
      <c r="G15" s="61">
        <v>5</v>
      </c>
      <c r="H15" s="62" t="s">
        <v>43</v>
      </c>
      <c r="I15" s="63" t="e">
        <f>IF(F15="węgiel",G15*#REF!,IF(F15="gaz",G15*#REF!,IF(F15="biomasa",G15*#REF!,IF(F15="olej opałowy",G15*#REF!,IF(F15="sieć ciepłownicza",0,0)))))</f>
        <v>#REF!</v>
      </c>
      <c r="J15" s="62" t="e">
        <f>I15*'Wskażniki emisji'!$B$11/1000000</f>
        <v>#REF!</v>
      </c>
      <c r="K15" s="62" t="e">
        <f>I15*'Wskażniki emisji'!$C$11/1000000</f>
        <v>#REF!</v>
      </c>
      <c r="L15" s="62" t="e">
        <f>I15*'Wskażniki emisji'!$D$11/1000000</f>
        <v>#REF!</v>
      </c>
      <c r="M15" s="62" t="e">
        <f>I15*'Wskażniki emisji'!$E$11/1000000</f>
        <v>#REF!</v>
      </c>
      <c r="N15" s="62" t="e">
        <f>I15*'Wskażniki emisji'!$F$11/1000000</f>
        <v>#REF!</v>
      </c>
      <c r="O15" s="62" t="e">
        <f>I15*'Wskażniki emisji'!$G$11/1000000</f>
        <v>#REF!</v>
      </c>
      <c r="P15" s="62" t="e">
        <f>I15*'Wskażniki emisji'!$H$11/1000000</f>
        <v>#REF!</v>
      </c>
      <c r="Q15" s="63">
        <v>2</v>
      </c>
      <c r="R15" s="64" t="s">
        <v>9</v>
      </c>
      <c r="S15" s="65"/>
      <c r="T15" s="49"/>
    </row>
    <row r="16" spans="1:20" ht="8.25" customHeight="1">
      <c r="A16" s="298"/>
      <c r="B16" s="68" t="s">
        <v>65</v>
      </c>
      <c r="C16" s="58">
        <v>1966</v>
      </c>
      <c r="D16" s="58">
        <v>115</v>
      </c>
      <c r="E16" s="69"/>
      <c r="F16" s="60" t="s">
        <v>4</v>
      </c>
      <c r="G16" s="61">
        <v>5</v>
      </c>
      <c r="H16" s="62" t="s">
        <v>43</v>
      </c>
      <c r="I16" s="63" t="e">
        <f>IF(F16="węgiel",G16*#REF!,IF(F16="gaz",G16*#REF!,IF(F16="biomasa",G16*#REF!,IF(F16="olej opałowy",G16*#REF!,IF(F16="sieć ciepłownicza",0,0)))))</f>
        <v>#REF!</v>
      </c>
      <c r="J16" s="62" t="e">
        <f>I16*'Wskażniki emisji'!$B$11/1000000</f>
        <v>#REF!</v>
      </c>
      <c r="K16" s="62" t="e">
        <f>I16*'Wskażniki emisji'!$C$11/1000000</f>
        <v>#REF!</v>
      </c>
      <c r="L16" s="62" t="e">
        <f>I16*'Wskażniki emisji'!$D$11/1000000</f>
        <v>#REF!</v>
      </c>
      <c r="M16" s="62" t="e">
        <f>I16*'Wskażniki emisji'!$E$11/1000000</f>
        <v>#REF!</v>
      </c>
      <c r="N16" s="62" t="e">
        <f>I16*'Wskażniki emisji'!$F$11/1000000</f>
        <v>#REF!</v>
      </c>
      <c r="O16" s="62" t="e">
        <f>I16*'Wskażniki emisji'!$G$11/1000000</f>
        <v>#REF!</v>
      </c>
      <c r="P16" s="62" t="e">
        <f>I16*'Wskażniki emisji'!$H$11/1000000</f>
        <v>#REF!</v>
      </c>
      <c r="Q16" s="63">
        <v>1.5</v>
      </c>
      <c r="R16" s="64" t="s">
        <v>9</v>
      </c>
      <c r="S16" s="65"/>
      <c r="T16" s="49"/>
    </row>
    <row r="17" spans="1:20" ht="8.25" customHeight="1">
      <c r="A17" s="66">
        <v>13</v>
      </c>
      <c r="B17" s="57" t="s">
        <v>66</v>
      </c>
      <c r="C17" s="58">
        <v>1966</v>
      </c>
      <c r="D17" s="58">
        <v>15</v>
      </c>
      <c r="E17" s="59" t="s">
        <v>10</v>
      </c>
      <c r="F17" s="60" t="s">
        <v>25</v>
      </c>
      <c r="G17" s="61">
        <v>0</v>
      </c>
      <c r="H17" s="62"/>
      <c r="I17" s="63">
        <v>8</v>
      </c>
      <c r="J17" s="62">
        <f>I17*'Wskażniki emisji'!$B$11/1000000</f>
        <v>1.8E-3</v>
      </c>
      <c r="K17" s="62">
        <f>I17*'Wskażniki emisji'!$C$11/1000000</f>
        <v>1.6080000000000001E-3</v>
      </c>
      <c r="L17" s="62">
        <f>I17*'Wskażniki emisji'!$D$11/1000000</f>
        <v>0.74992000000000003</v>
      </c>
      <c r="M17" s="62">
        <f>I17*'Wskażniki emisji'!$E$11/1000000</f>
        <v>2.1600000000000001E-6</v>
      </c>
      <c r="N17" s="62">
        <f>I17*'Wskażniki emisji'!$F$11/1000000</f>
        <v>7.1999999999999998E-3</v>
      </c>
      <c r="O17" s="62">
        <f>I17*'Wskażniki emisji'!$G$11/1000000</f>
        <v>1.2639999999999999E-3</v>
      </c>
      <c r="P17" s="62">
        <f>I17*'Wskażniki emisji'!$H$11/1000000</f>
        <v>3.6799999999999999E-2</v>
      </c>
      <c r="Q17" s="63">
        <v>1</v>
      </c>
      <c r="R17" s="64" t="s">
        <v>9</v>
      </c>
      <c r="S17" s="65"/>
      <c r="T17" s="49"/>
    </row>
    <row r="18" spans="1:20">
      <c r="A18" s="56">
        <v>14</v>
      </c>
      <c r="B18" s="68" t="s">
        <v>67</v>
      </c>
      <c r="C18" s="58"/>
      <c r="D18" s="58">
        <v>440</v>
      </c>
      <c r="E18" s="69"/>
      <c r="F18" s="60" t="s">
        <v>4</v>
      </c>
      <c r="G18" s="61">
        <v>1.8</v>
      </c>
      <c r="H18" s="62" t="s">
        <v>43</v>
      </c>
      <c r="I18" s="63" t="e">
        <f>IF(F18="węgiel",G18*#REF!,IF(F18="gaz",G18*#REF!,IF(F18="biomasa",G18*#REF!,IF(F18="olej opałowy",G18*#REF!,IF(F18="sieć ciepłownicza",0,0)))))</f>
        <v>#REF!</v>
      </c>
      <c r="J18" s="62" t="e">
        <f>I18*'Wskażniki emisji'!$B$11/1000000</f>
        <v>#REF!</v>
      </c>
      <c r="K18" s="62" t="e">
        <f>I18*'Wskażniki emisji'!$C$11/1000000</f>
        <v>#REF!</v>
      </c>
      <c r="L18" s="62" t="e">
        <f>I18*'Wskażniki emisji'!$D$11/1000000</f>
        <v>#REF!</v>
      </c>
      <c r="M18" s="62" t="e">
        <f>I18*'Wskażniki emisji'!$E$11/1000000</f>
        <v>#REF!</v>
      </c>
      <c r="N18" s="62" t="e">
        <f>I18*'Wskażniki emisji'!$F$11/1000000</f>
        <v>#REF!</v>
      </c>
      <c r="O18" s="62" t="e">
        <f>I18*'Wskażniki emisji'!$G$11/1000000</f>
        <v>#REF!</v>
      </c>
      <c r="P18" s="62" t="e">
        <f>I18*'Wskażniki emisji'!$H$11/1000000</f>
        <v>#REF!</v>
      </c>
      <c r="Q18" s="70">
        <v>3</v>
      </c>
      <c r="R18" s="64" t="s">
        <v>9</v>
      </c>
      <c r="S18" s="65"/>
      <c r="T18" s="49"/>
    </row>
    <row r="19" spans="1:20">
      <c r="A19" s="66">
        <v>15</v>
      </c>
      <c r="B19" s="68" t="s">
        <v>68</v>
      </c>
      <c r="C19" s="58"/>
      <c r="D19" s="58"/>
      <c r="E19" s="59" t="s">
        <v>9</v>
      </c>
      <c r="F19" s="60"/>
      <c r="G19" s="61"/>
      <c r="H19" s="62"/>
      <c r="I19" s="63">
        <f>IF(F19="węgiel",G19*#REF!,IF(F19="gaz",G19*#REF!,IF(F19="biomasa",G19*#REF!,IF(F19="olej opałowy",G19*#REF!,IF(F19="sieć ciepłownicza",0,0)))))</f>
        <v>0</v>
      </c>
      <c r="J19" s="62">
        <f>I19*'Wskażniki emisji'!$B$11/1000000</f>
        <v>0</v>
      </c>
      <c r="K19" s="62">
        <f>I19*'Wskażniki emisji'!$C$11/1000000</f>
        <v>0</v>
      </c>
      <c r="L19" s="62">
        <f>I19*'Wskażniki emisji'!$D$11/1000000</f>
        <v>0</v>
      </c>
      <c r="M19" s="62">
        <f>I19*'Wskażniki emisji'!$E$11/1000000</f>
        <v>0</v>
      </c>
      <c r="N19" s="62">
        <f>I19*'Wskażniki emisji'!$F$11/1000000</f>
        <v>0</v>
      </c>
      <c r="O19" s="62">
        <f>I19*'Wskażniki emisji'!$G$11/1000000</f>
        <v>0</v>
      </c>
      <c r="P19" s="62">
        <f>I19*'Wskażniki emisji'!$H$11/1000000</f>
        <v>0</v>
      </c>
      <c r="Q19" s="70">
        <v>5</v>
      </c>
      <c r="R19" s="64" t="s">
        <v>9</v>
      </c>
      <c r="S19" s="65"/>
      <c r="T19" s="49"/>
    </row>
    <row r="20" spans="1:20" ht="7.2" thickBot="1">
      <c r="A20" s="71"/>
      <c r="B20" s="72"/>
      <c r="C20" s="73"/>
      <c r="D20" s="73"/>
      <c r="E20" s="74"/>
      <c r="F20" s="75"/>
      <c r="G20" s="75"/>
      <c r="H20" s="75"/>
      <c r="I20" s="75"/>
      <c r="J20" s="76" t="e">
        <f>SUM(J4:J19)</f>
        <v>#REF!</v>
      </c>
      <c r="K20" s="76" t="e">
        <f t="shared" ref="K20:P20" si="0">SUM(K4:K19)</f>
        <v>#REF!</v>
      </c>
      <c r="L20" s="76" t="e">
        <f t="shared" si="0"/>
        <v>#REF!</v>
      </c>
      <c r="M20" s="76" t="e">
        <f t="shared" si="0"/>
        <v>#REF!</v>
      </c>
      <c r="N20" s="76" t="e">
        <f t="shared" si="0"/>
        <v>#REF!</v>
      </c>
      <c r="O20" s="76" t="e">
        <f t="shared" si="0"/>
        <v>#REF!</v>
      </c>
      <c r="P20" s="76" t="e">
        <f t="shared" si="0"/>
        <v>#REF!</v>
      </c>
      <c r="Q20" s="77">
        <f>SUM(Q4:Q19)</f>
        <v>216.8</v>
      </c>
      <c r="R20" s="78" t="s">
        <v>9</v>
      </c>
      <c r="S20" s="65"/>
      <c r="T20" s="49"/>
    </row>
    <row r="21" spans="1:20" ht="10.8" thickBot="1">
      <c r="B21" s="79" t="s">
        <v>123</v>
      </c>
      <c r="C21" s="43"/>
      <c r="G21" s="80"/>
    </row>
    <row r="22" spans="1:20" ht="35.25" customHeight="1">
      <c r="B22" s="292" t="s">
        <v>6</v>
      </c>
      <c r="C22" s="294" t="s">
        <v>49</v>
      </c>
    </row>
    <row r="23" spans="1:20">
      <c r="B23" s="293"/>
      <c r="C23" s="295"/>
      <c r="H23" s="81" t="s">
        <v>115</v>
      </c>
      <c r="I23" s="82">
        <v>16813.104433299999</v>
      </c>
      <c r="J23" s="83">
        <v>3.7828967474924999</v>
      </c>
      <c r="K23" s="83">
        <v>3.3796967610933</v>
      </c>
      <c r="L23" s="83">
        <v>1738.3194093775419</v>
      </c>
      <c r="M23" s="83">
        <v>4.5360635969909999E-3</v>
      </c>
      <c r="N23" s="83">
        <v>15.117269489969999</v>
      </c>
      <c r="O23" s="83">
        <v>2.6545061604613998</v>
      </c>
      <c r="P23" s="83">
        <v>33.790319549999992</v>
      </c>
    </row>
    <row r="24" spans="1:20" ht="7.8">
      <c r="B24" s="84" t="s">
        <v>4</v>
      </c>
      <c r="C24" s="85" t="e">
        <f>SUMIFS($I$4:$I$20,'Termomodernizacje - stan 2020r.'!$F$4:$F$20,'Termomodernizacje - stan 2020r.'!B24)</f>
        <v>#REF!</v>
      </c>
      <c r="H24" s="86" t="s">
        <v>116</v>
      </c>
      <c r="I24" s="87" t="e">
        <f>I23-C30</f>
        <v>#REF!</v>
      </c>
      <c r="J24" s="88" t="e">
        <f>J23-J20</f>
        <v>#REF!</v>
      </c>
      <c r="K24" s="88" t="e">
        <f t="shared" ref="K24:P24" si="1">K23-K20</f>
        <v>#REF!</v>
      </c>
      <c r="L24" s="88" t="e">
        <f t="shared" si="1"/>
        <v>#REF!</v>
      </c>
      <c r="M24" s="88" t="e">
        <f t="shared" si="1"/>
        <v>#REF!</v>
      </c>
      <c r="N24" s="88" t="e">
        <f t="shared" si="1"/>
        <v>#REF!</v>
      </c>
      <c r="O24" s="88" t="e">
        <f t="shared" si="1"/>
        <v>#REF!</v>
      </c>
      <c r="P24" s="88" t="e">
        <f t="shared" si="1"/>
        <v>#REF!</v>
      </c>
    </row>
    <row r="25" spans="1:20" ht="7.8">
      <c r="B25" s="84" t="s">
        <v>0</v>
      </c>
      <c r="C25" s="85" t="e">
        <f>SUMIFS($I$4:$I$20,'Termomodernizacje - stan 2020r.'!$F$4:$F$20,'Termomodernizacje - stan 2020r.'!B25)</f>
        <v>#REF!</v>
      </c>
      <c r="H25" s="67" t="s">
        <v>126</v>
      </c>
      <c r="I25" s="89" t="e">
        <f>I24/I23</f>
        <v>#REF!</v>
      </c>
      <c r="J25" s="89" t="e">
        <f t="shared" ref="J25:P25" si="2">J24/J23</f>
        <v>#REF!</v>
      </c>
      <c r="K25" s="89" t="e">
        <f t="shared" si="2"/>
        <v>#REF!</v>
      </c>
      <c r="L25" s="89" t="e">
        <f t="shared" si="2"/>
        <v>#REF!</v>
      </c>
      <c r="M25" s="89" t="e">
        <f t="shared" si="2"/>
        <v>#REF!</v>
      </c>
      <c r="N25" s="89" t="e">
        <f t="shared" si="2"/>
        <v>#REF!</v>
      </c>
      <c r="O25" s="89" t="e">
        <f t="shared" si="2"/>
        <v>#REF!</v>
      </c>
      <c r="P25" s="89" t="e">
        <f t="shared" si="2"/>
        <v>#REF!</v>
      </c>
    </row>
    <row r="26" spans="1:20" ht="7.8">
      <c r="B26" s="84" t="s">
        <v>7</v>
      </c>
      <c r="C26" s="85">
        <f>SUMIFS($I$4:$I$20,'Termomodernizacje - stan 2020r.'!$F$4:$F$20,'Termomodernizacje - stan 2020r.'!B26)</f>
        <v>0</v>
      </c>
    </row>
    <row r="27" spans="1:20" ht="7.8">
      <c r="B27" s="84" t="s">
        <v>3</v>
      </c>
      <c r="C27" s="85">
        <f>SUMIFS($I$4:$I$20,'Termomodernizacje - stan 2020r.'!$F$4:$F$20,'Termomodernizacje - stan 2020r.'!B27)</f>
        <v>0</v>
      </c>
    </row>
    <row r="28" spans="1:20" ht="7.8">
      <c r="B28" s="84" t="s">
        <v>25</v>
      </c>
      <c r="C28" s="85">
        <f>SUMIFS($I$4:$I$20,'Termomodernizacje - stan 2020r.'!$F$4:$F$20,'Termomodernizacje - stan 2020r.'!B28)</f>
        <v>8</v>
      </c>
    </row>
    <row r="29" spans="1:20" ht="7.8">
      <c r="B29" s="90" t="s">
        <v>1</v>
      </c>
      <c r="C29" s="85">
        <f>SUMIFS($I$4:$I$20,'Termomodernizacje - stan 2020r.'!$F$4:$F$20,'Termomodernizacje - stan 2020r.'!B29)</f>
        <v>0</v>
      </c>
    </row>
    <row r="30" spans="1:20" ht="8.4" thickBot="1">
      <c r="B30" s="91" t="s">
        <v>21</v>
      </c>
      <c r="C30" s="92" t="e">
        <f>SUM(C24:C29)</f>
        <v>#REF!</v>
      </c>
    </row>
    <row r="31" spans="1:20">
      <c r="B31" s="43"/>
      <c r="C31" s="43"/>
    </row>
    <row r="32" spans="1:20">
      <c r="B32" s="43"/>
      <c r="C32" s="43"/>
    </row>
    <row r="33" spans="2:3">
      <c r="B33" s="43"/>
      <c r="C33" s="43"/>
    </row>
    <row r="34" spans="2:3">
      <c r="B34" s="43"/>
      <c r="C34" s="43"/>
    </row>
    <row r="35" spans="2:3" ht="10.5" customHeight="1">
      <c r="B35" s="93"/>
      <c r="C35" s="43"/>
    </row>
    <row r="36" spans="2:3">
      <c r="B36" s="93"/>
      <c r="C36" s="43"/>
    </row>
    <row r="37" spans="2:3">
      <c r="B37" s="93"/>
      <c r="C37" s="43"/>
    </row>
    <row r="38" spans="2:3">
      <c r="B38" s="93"/>
      <c r="C38" s="43"/>
    </row>
    <row r="39" spans="2:3">
      <c r="B39" s="93"/>
      <c r="C39" s="43"/>
    </row>
    <row r="40" spans="2:3">
      <c r="B40" s="93"/>
      <c r="C40" s="43"/>
    </row>
    <row r="41" spans="2:3">
      <c r="B41" s="93"/>
      <c r="C41" s="43"/>
    </row>
    <row r="42" spans="2:3">
      <c r="B42" s="93"/>
      <c r="C42" s="43"/>
    </row>
    <row r="43" spans="2:3">
      <c r="B43" s="93"/>
      <c r="C43" s="43"/>
    </row>
    <row r="44" spans="2:3">
      <c r="B44" s="93"/>
      <c r="C44" s="43"/>
    </row>
    <row r="45" spans="2:3">
      <c r="B45" s="93"/>
      <c r="C45" s="43"/>
    </row>
    <row r="46" spans="2:3">
      <c r="B46" s="93"/>
      <c r="C46" s="43"/>
    </row>
    <row r="47" spans="2:3">
      <c r="B47" s="93"/>
      <c r="C47" s="43"/>
    </row>
    <row r="48" spans="2:3">
      <c r="B48" s="93"/>
      <c r="C48" s="43"/>
    </row>
    <row r="49" spans="2:3">
      <c r="B49" s="93"/>
      <c r="C49" s="43"/>
    </row>
    <row r="50" spans="2:3">
      <c r="B50" s="93"/>
      <c r="C50" s="43"/>
    </row>
    <row r="51" spans="2:3">
      <c r="B51" s="93"/>
      <c r="C51" s="43"/>
    </row>
    <row r="52" spans="2:3">
      <c r="B52" s="93"/>
      <c r="C52" s="43"/>
    </row>
    <row r="53" spans="2:3">
      <c r="B53" s="93"/>
      <c r="C53" s="43"/>
    </row>
    <row r="54" spans="2:3">
      <c r="B54" s="93"/>
      <c r="C54" s="43"/>
    </row>
    <row r="55" spans="2:3">
      <c r="B55" s="93"/>
      <c r="C55" s="43"/>
    </row>
    <row r="56" spans="2:3">
      <c r="B56" s="93"/>
      <c r="C56" s="43"/>
    </row>
    <row r="57" spans="2:3">
      <c r="B57" s="93"/>
      <c r="C57" s="43"/>
    </row>
    <row r="58" spans="2:3">
      <c r="B58" s="93"/>
      <c r="C58" s="43"/>
    </row>
    <row r="59" spans="2:3">
      <c r="B59" s="93"/>
      <c r="C59" s="43"/>
    </row>
    <row r="60" spans="2:3">
      <c r="B60" s="93"/>
      <c r="C60" s="43"/>
    </row>
    <row r="61" spans="2:3">
      <c r="B61" s="93"/>
      <c r="C61" s="43"/>
    </row>
    <row r="62" spans="2:3">
      <c r="B62" s="93"/>
      <c r="C62" s="43"/>
    </row>
    <row r="63" spans="2:3">
      <c r="B63" s="93"/>
      <c r="C63" s="43"/>
    </row>
    <row r="64" spans="2:3">
      <c r="B64" s="93"/>
      <c r="C64" s="43"/>
    </row>
    <row r="65" spans="2:3">
      <c r="B65" s="93"/>
      <c r="C65" s="43"/>
    </row>
    <row r="66" spans="2:3">
      <c r="B66" s="93"/>
      <c r="C66" s="43"/>
    </row>
    <row r="67" spans="2:3">
      <c r="B67" s="93"/>
      <c r="C67" s="43"/>
    </row>
    <row r="68" spans="2:3">
      <c r="B68" s="93"/>
      <c r="C68" s="43"/>
    </row>
    <row r="69" spans="2:3">
      <c r="B69" s="93"/>
      <c r="C69" s="43"/>
    </row>
    <row r="70" spans="2:3">
      <c r="B70" s="93"/>
      <c r="C70" s="43"/>
    </row>
    <row r="71" spans="2:3">
      <c r="B71" s="93"/>
      <c r="C71" s="43"/>
    </row>
    <row r="72" spans="2:3">
      <c r="B72" s="93"/>
      <c r="C72" s="43"/>
    </row>
    <row r="73" spans="2:3">
      <c r="B73" s="93"/>
      <c r="C73" s="43"/>
    </row>
    <row r="74" spans="2:3">
      <c r="B74" s="93"/>
      <c r="C74" s="43"/>
    </row>
    <row r="75" spans="2:3">
      <c r="B75" s="93"/>
      <c r="C75" s="43"/>
    </row>
    <row r="76" spans="2:3">
      <c r="B76" s="93"/>
      <c r="C76" s="43"/>
    </row>
    <row r="77" spans="2:3">
      <c r="B77" s="93"/>
      <c r="C77" s="43"/>
    </row>
    <row r="78" spans="2:3">
      <c r="B78" s="93"/>
      <c r="C78" s="43"/>
    </row>
    <row r="79" spans="2:3">
      <c r="B79" s="93"/>
      <c r="C79" s="43"/>
    </row>
    <row r="80" spans="2:3">
      <c r="B80" s="93"/>
      <c r="C80" s="43"/>
    </row>
    <row r="81" spans="2:19">
      <c r="B81" s="93"/>
      <c r="C81" s="43"/>
    </row>
    <row r="82" spans="2:19">
      <c r="B82" s="93"/>
      <c r="C82" s="43"/>
    </row>
    <row r="83" spans="2:19">
      <c r="B83" s="93"/>
      <c r="C83" s="43"/>
    </row>
    <row r="84" spans="2:19">
      <c r="B84" s="93"/>
      <c r="C84" s="43"/>
    </row>
    <row r="85" spans="2:19">
      <c r="B85" s="93"/>
      <c r="C85" s="43"/>
    </row>
    <row r="86" spans="2:19">
      <c r="B86" s="93"/>
      <c r="C86" s="43"/>
    </row>
    <row r="87" spans="2:19">
      <c r="B87" s="93"/>
      <c r="C87" s="43"/>
    </row>
    <row r="88" spans="2:19">
      <c r="B88" s="93"/>
      <c r="C88" s="43"/>
    </row>
    <row r="89" spans="2:19">
      <c r="B89" s="93"/>
      <c r="C89" s="43"/>
    </row>
    <row r="90" spans="2:19">
      <c r="B90" s="93"/>
      <c r="C90" s="43"/>
    </row>
    <row r="91" spans="2:19">
      <c r="B91" s="93"/>
      <c r="C91" s="43"/>
    </row>
    <row r="92" spans="2:19">
      <c r="B92" s="93"/>
      <c r="C92" s="43"/>
    </row>
    <row r="93" spans="2:19">
      <c r="B93" s="93"/>
      <c r="C93" s="43"/>
    </row>
    <row r="94" spans="2:19">
      <c r="B94" s="93"/>
      <c r="C94" s="43"/>
    </row>
    <row r="95" spans="2:19">
      <c r="B95" s="93"/>
      <c r="C95" s="43"/>
    </row>
    <row r="96" spans="2:19">
      <c r="B96" s="93"/>
      <c r="C96" s="43"/>
      <c r="R96" s="80"/>
      <c r="S96" s="80"/>
    </row>
    <row r="97" spans="2:3">
      <c r="B97" s="93"/>
      <c r="C97" s="43"/>
    </row>
    <row r="98" spans="2:3">
      <c r="B98" s="93"/>
      <c r="C98" s="43"/>
    </row>
    <row r="99" spans="2:3">
      <c r="B99" s="93"/>
      <c r="C99" s="43"/>
    </row>
    <row r="100" spans="2:3">
      <c r="B100" s="93"/>
      <c r="C100" s="43"/>
    </row>
    <row r="101" spans="2:3">
      <c r="B101" s="93"/>
      <c r="C101" s="43"/>
    </row>
    <row r="102" spans="2:3">
      <c r="B102" s="93"/>
      <c r="C102" s="43"/>
    </row>
    <row r="103" spans="2:3">
      <c r="B103" s="93"/>
      <c r="C103" s="43"/>
    </row>
    <row r="104" spans="2:3">
      <c r="B104" s="93"/>
      <c r="C104" s="43"/>
    </row>
    <row r="105" spans="2:3">
      <c r="B105" s="93"/>
      <c r="C105" s="43"/>
    </row>
    <row r="106" spans="2:3">
      <c r="B106" s="93"/>
      <c r="C106" s="43"/>
    </row>
    <row r="107" spans="2:3">
      <c r="B107" s="93"/>
      <c r="C107" s="43"/>
    </row>
    <row r="108" spans="2:3">
      <c r="B108" s="93"/>
      <c r="C108" s="43"/>
    </row>
    <row r="109" spans="2:3">
      <c r="B109" s="93"/>
      <c r="C109" s="43"/>
    </row>
    <row r="110" spans="2:3">
      <c r="B110" s="93"/>
      <c r="C110" s="43"/>
    </row>
    <row r="111" spans="2:3">
      <c r="B111" s="93"/>
      <c r="C111" s="43"/>
    </row>
    <row r="112" spans="2:3">
      <c r="B112" s="93"/>
      <c r="C112" s="43"/>
    </row>
    <row r="113" spans="2:3">
      <c r="B113" s="93"/>
      <c r="C113" s="43"/>
    </row>
    <row r="114" spans="2:3">
      <c r="B114" s="93"/>
      <c r="C114" s="43"/>
    </row>
    <row r="115" spans="2:3">
      <c r="B115" s="93"/>
      <c r="C115" s="43"/>
    </row>
    <row r="116" spans="2:3">
      <c r="B116" s="93"/>
      <c r="C116" s="43"/>
    </row>
    <row r="117" spans="2:3">
      <c r="B117" s="93"/>
      <c r="C117" s="43"/>
    </row>
    <row r="118" spans="2:3">
      <c r="B118" s="93"/>
      <c r="C118" s="43"/>
    </row>
    <row r="119" spans="2:3">
      <c r="B119" s="93"/>
      <c r="C119" s="43"/>
    </row>
    <row r="120" spans="2:3">
      <c r="B120" s="93"/>
      <c r="C120" s="43"/>
    </row>
    <row r="121" spans="2:3">
      <c r="B121" s="93"/>
      <c r="C121" s="43"/>
    </row>
    <row r="122" spans="2:3">
      <c r="B122" s="93"/>
      <c r="C122" s="43"/>
    </row>
    <row r="123" spans="2:3">
      <c r="B123" s="93"/>
      <c r="C123" s="43"/>
    </row>
    <row r="124" spans="2:3">
      <c r="B124" s="93"/>
      <c r="C124" s="43"/>
    </row>
    <row r="125" spans="2:3">
      <c r="B125" s="93"/>
      <c r="C125" s="43"/>
    </row>
    <row r="126" spans="2:3">
      <c r="B126" s="93"/>
      <c r="C126" s="43"/>
    </row>
    <row r="127" spans="2:3">
      <c r="B127" s="93"/>
      <c r="C127" s="43"/>
    </row>
    <row r="128" spans="2:3">
      <c r="B128" s="93"/>
      <c r="C128" s="43"/>
    </row>
    <row r="129" spans="2:3">
      <c r="B129" s="93"/>
      <c r="C129" s="43"/>
    </row>
    <row r="130" spans="2:3">
      <c r="B130" s="93"/>
      <c r="C130" s="43"/>
    </row>
    <row r="131" spans="2:3">
      <c r="B131" s="93"/>
      <c r="C131" s="43"/>
    </row>
    <row r="132" spans="2:3">
      <c r="B132" s="93"/>
      <c r="C132" s="43"/>
    </row>
    <row r="133" spans="2:3">
      <c r="B133" s="93"/>
      <c r="C133" s="43"/>
    </row>
    <row r="134" spans="2:3">
      <c r="B134" s="93"/>
      <c r="C134" s="43"/>
    </row>
    <row r="135" spans="2:3">
      <c r="B135" s="93"/>
      <c r="C135" s="43"/>
    </row>
    <row r="136" spans="2:3">
      <c r="B136" s="93"/>
      <c r="C136" s="43"/>
    </row>
    <row r="137" spans="2:3">
      <c r="B137" s="93"/>
      <c r="C137" s="43"/>
    </row>
    <row r="138" spans="2:3">
      <c r="B138" s="93"/>
      <c r="C138" s="43"/>
    </row>
    <row r="139" spans="2:3">
      <c r="B139" s="93"/>
      <c r="C139" s="43"/>
    </row>
    <row r="140" spans="2:3">
      <c r="B140" s="93"/>
      <c r="C140" s="43"/>
    </row>
    <row r="141" spans="2:3">
      <c r="B141" s="93"/>
      <c r="C141" s="43"/>
    </row>
    <row r="142" spans="2:3">
      <c r="B142" s="93"/>
      <c r="C142" s="43"/>
    </row>
    <row r="143" spans="2:3">
      <c r="B143" s="93"/>
      <c r="C143" s="43"/>
    </row>
    <row r="144" spans="2:3">
      <c r="B144" s="93"/>
      <c r="C144" s="43"/>
    </row>
    <row r="145" spans="2:3">
      <c r="B145" s="93"/>
      <c r="C145" s="43"/>
    </row>
    <row r="146" spans="2:3">
      <c r="B146" s="93"/>
      <c r="C146" s="43"/>
    </row>
    <row r="147" spans="2:3">
      <c r="B147" s="93"/>
      <c r="C147" s="43"/>
    </row>
    <row r="148" spans="2:3">
      <c r="B148" s="93"/>
      <c r="C148" s="43"/>
    </row>
    <row r="149" spans="2:3">
      <c r="B149" s="93"/>
      <c r="C149" s="43"/>
    </row>
    <row r="150" spans="2:3">
      <c r="B150" s="93"/>
      <c r="C150" s="43"/>
    </row>
    <row r="151" spans="2:3">
      <c r="B151" s="93"/>
      <c r="C151" s="43"/>
    </row>
    <row r="152" spans="2:3">
      <c r="B152" s="93"/>
      <c r="C152" s="43"/>
    </row>
    <row r="153" spans="2:3">
      <c r="B153" s="93"/>
      <c r="C153" s="43"/>
    </row>
    <row r="154" spans="2:3">
      <c r="B154" s="93"/>
      <c r="C154" s="43"/>
    </row>
    <row r="155" spans="2:3">
      <c r="B155" s="93"/>
      <c r="C155" s="43"/>
    </row>
    <row r="156" spans="2:3">
      <c r="B156" s="93"/>
      <c r="C156" s="43"/>
    </row>
    <row r="157" spans="2:3">
      <c r="B157" s="93"/>
      <c r="C157" s="43"/>
    </row>
    <row r="158" spans="2:3">
      <c r="B158" s="93"/>
      <c r="C158" s="43"/>
    </row>
    <row r="159" spans="2:3">
      <c r="B159" s="93"/>
      <c r="C159" s="43"/>
    </row>
    <row r="160" spans="2:3">
      <c r="B160" s="93"/>
      <c r="C160" s="43"/>
    </row>
    <row r="161" spans="2:3">
      <c r="B161" s="93"/>
      <c r="C161" s="43"/>
    </row>
    <row r="162" spans="2:3">
      <c r="B162" s="93"/>
      <c r="C162" s="43"/>
    </row>
    <row r="163" spans="2:3">
      <c r="B163" s="93"/>
      <c r="C163" s="43"/>
    </row>
    <row r="164" spans="2:3">
      <c r="B164" s="93"/>
      <c r="C164" s="43"/>
    </row>
    <row r="165" spans="2:3">
      <c r="B165" s="93"/>
      <c r="C165" s="43"/>
    </row>
    <row r="166" spans="2:3">
      <c r="B166" s="93"/>
      <c r="C166" s="43"/>
    </row>
    <row r="167" spans="2:3">
      <c r="B167" s="93"/>
      <c r="C167" s="43"/>
    </row>
    <row r="168" spans="2:3">
      <c r="B168" s="93"/>
      <c r="C168" s="43"/>
    </row>
    <row r="169" spans="2:3">
      <c r="B169" s="93"/>
      <c r="C169" s="43"/>
    </row>
    <row r="170" spans="2:3">
      <c r="B170" s="93"/>
      <c r="C170" s="43"/>
    </row>
    <row r="171" spans="2:3">
      <c r="B171" s="93"/>
      <c r="C171" s="43"/>
    </row>
    <row r="172" spans="2:3">
      <c r="B172" s="93"/>
      <c r="C172" s="43"/>
    </row>
    <row r="173" spans="2:3">
      <c r="B173" s="93"/>
      <c r="C173" s="43"/>
    </row>
    <row r="174" spans="2:3">
      <c r="B174" s="93"/>
      <c r="C174" s="43"/>
    </row>
    <row r="175" spans="2:3">
      <c r="B175" s="93"/>
      <c r="C175" s="43"/>
    </row>
    <row r="176" spans="2:3">
      <c r="B176" s="94"/>
      <c r="C176" s="95"/>
    </row>
  </sheetData>
  <mergeCells count="4">
    <mergeCell ref="B22:B23"/>
    <mergeCell ref="C22:C23"/>
    <mergeCell ref="A1:S1"/>
    <mergeCell ref="A15:A16"/>
  </mergeCells>
  <phoneticPr fontId="20" type="noConversion"/>
  <dataValidations count="1">
    <dataValidation type="list" allowBlank="1" showInputMessage="1" showErrorMessage="1" sqref="B24:B28 F20:I20 R4:R20" xr:uid="{00000000-0002-0000-0400-000000000000}">
      <formula1>#REF!</formula1>
    </dataValidation>
  </dataValidations>
  <pageMargins left="0.7" right="0.7" top="0.75" bottom="0.75" header="0.3" footer="0.3"/>
  <pageSetup paperSize="9" scale="7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'Wskażniki emisji'!$A$11:$A$12</xm:f>
          </x14:formula1>
          <xm:sqref>H4:H19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V5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5" sqref="A5"/>
      <selection pane="bottomRight" activeCell="N16" sqref="N16"/>
    </sheetView>
  </sheetViews>
  <sheetFormatPr defaultColWidth="9" defaultRowHeight="13.8"/>
  <cols>
    <col min="1" max="1" width="2.3984375" style="98" customWidth="1"/>
    <col min="2" max="2" width="10.8984375" style="98" customWidth="1"/>
    <col min="3" max="3" width="30.09765625" style="117" customWidth="1"/>
    <col min="4" max="4" width="8.8984375" style="102" customWidth="1"/>
    <col min="5" max="5" width="8.69921875" style="98" customWidth="1"/>
    <col min="6" max="6" width="8.3984375" style="98" bestFit="1" customWidth="1"/>
    <col min="7" max="7" width="9.3984375" style="98" bestFit="1" customWidth="1"/>
    <col min="8" max="8" width="7.3984375" style="98" customWidth="1"/>
    <col min="9" max="9" width="7" style="98" bestFit="1" customWidth="1"/>
    <col min="10" max="10" width="7.09765625" style="98" customWidth="1"/>
    <col min="11" max="12" width="6.09765625" style="98" bestFit="1" customWidth="1"/>
    <col min="13" max="13" width="1.69921875" style="98" customWidth="1"/>
    <col min="14" max="15" width="16.19921875" style="98" customWidth="1"/>
    <col min="16" max="16" width="15.69921875" style="98" customWidth="1"/>
    <col min="17" max="17" width="6" style="98" customWidth="1"/>
    <col min="18" max="18" width="4.19921875" style="98" bestFit="1" customWidth="1"/>
    <col min="19" max="19" width="9.3984375" style="98" bestFit="1" customWidth="1"/>
    <col min="20" max="20" width="3.5" style="98" bestFit="1" customWidth="1"/>
    <col min="21" max="21" width="4.19921875" style="98" bestFit="1" customWidth="1"/>
    <col min="22" max="22" width="9.3984375" style="98" customWidth="1"/>
    <col min="23" max="23" width="5.3984375" style="98" customWidth="1"/>
    <col min="24" max="24" width="12.19921875" style="98" customWidth="1"/>
    <col min="25" max="25" width="10.59765625" style="98" bestFit="1" customWidth="1"/>
    <col min="26" max="26" width="5" style="98" bestFit="1" customWidth="1"/>
    <col min="27" max="27" width="6.69921875" style="98" customWidth="1"/>
    <col min="28" max="28" width="5.09765625" style="98" bestFit="1" customWidth="1"/>
    <col min="29" max="30" width="4.09765625" style="98" bestFit="1" customWidth="1"/>
    <col min="31" max="31" width="7.8984375" style="98" customWidth="1"/>
    <col min="32" max="32" width="7.59765625" style="98" customWidth="1"/>
    <col min="33" max="33" width="8.3984375" style="98" customWidth="1"/>
    <col min="34" max="34" width="6.19921875" style="99" bestFit="1" customWidth="1"/>
    <col min="35" max="35" width="4.59765625" style="99" bestFit="1" customWidth="1"/>
    <col min="36" max="36" width="6.19921875" style="99" bestFit="1" customWidth="1"/>
    <col min="37" max="37" width="12.3984375" style="99" bestFit="1" customWidth="1"/>
    <col min="38" max="38" width="8.19921875" style="99" bestFit="1" customWidth="1"/>
    <col min="39" max="39" width="7.3984375" style="99" bestFit="1" customWidth="1"/>
    <col min="40" max="40" width="8.69921875" style="99" customWidth="1"/>
    <col min="41" max="16384" width="9" style="98"/>
  </cols>
  <sheetData>
    <row r="1" spans="2:45" ht="34.5" customHeight="1">
      <c r="B1" s="315" t="s">
        <v>196</v>
      </c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2" spans="2:45">
      <c r="B2" s="3" t="s">
        <v>134</v>
      </c>
      <c r="N2" s="3" t="s">
        <v>137</v>
      </c>
    </row>
    <row r="3" spans="2:45">
      <c r="B3" s="97" t="s">
        <v>114</v>
      </c>
      <c r="C3" s="133"/>
      <c r="D3" s="351" t="s">
        <v>155</v>
      </c>
      <c r="E3" s="351"/>
      <c r="F3" s="351"/>
      <c r="G3" s="351"/>
      <c r="H3" s="351"/>
      <c r="I3" s="351"/>
      <c r="J3" s="351"/>
      <c r="K3" s="351"/>
      <c r="L3" s="351"/>
    </row>
    <row r="4" spans="2:45" ht="27.75" customHeight="1">
      <c r="B4" s="97"/>
      <c r="C4" s="172"/>
      <c r="D4" s="325" t="s">
        <v>156</v>
      </c>
      <c r="E4" s="326"/>
      <c r="F4" s="326"/>
      <c r="G4" s="326"/>
      <c r="H4" s="326"/>
      <c r="I4" s="326"/>
      <c r="J4" s="326"/>
      <c r="K4" s="326"/>
      <c r="L4" s="326"/>
      <c r="AO4"/>
      <c r="AP4"/>
      <c r="AQ4"/>
    </row>
    <row r="5" spans="2:45">
      <c r="B5" s="97"/>
      <c r="C5" s="173"/>
      <c r="D5" s="325" t="s">
        <v>157</v>
      </c>
      <c r="E5" s="326"/>
      <c r="F5" s="326"/>
      <c r="G5" s="326"/>
      <c r="H5" s="326"/>
      <c r="I5" s="326"/>
      <c r="J5" s="326"/>
      <c r="K5" s="326"/>
      <c r="L5" s="326"/>
      <c r="AO5"/>
      <c r="AP5"/>
      <c r="AQ5"/>
    </row>
    <row r="6" spans="2:45" ht="15" customHeight="1">
      <c r="B6" s="361" t="s">
        <v>77</v>
      </c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150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H6" s="98"/>
      <c r="AI6" s="98"/>
      <c r="AJ6" s="98"/>
      <c r="AK6" s="98"/>
      <c r="AL6" s="98"/>
      <c r="AM6" s="98"/>
      <c r="AN6" s="98"/>
    </row>
    <row r="7" spans="2:45" ht="14.25" customHeight="1">
      <c r="B7" s="362" t="s">
        <v>79</v>
      </c>
      <c r="C7" s="340" t="s">
        <v>80</v>
      </c>
      <c r="D7" s="321" t="s">
        <v>81</v>
      </c>
      <c r="E7" s="321" t="s">
        <v>82</v>
      </c>
      <c r="F7" s="320" t="s">
        <v>83</v>
      </c>
      <c r="G7" s="320"/>
      <c r="H7" s="320"/>
      <c r="I7" s="320"/>
      <c r="J7" s="320"/>
      <c r="K7" s="320"/>
      <c r="L7" s="320"/>
      <c r="M7" s="151"/>
      <c r="P7" s="346" t="s">
        <v>125</v>
      </c>
      <c r="Q7" s="329" t="s">
        <v>84</v>
      </c>
      <c r="R7" s="330"/>
      <c r="S7" s="330"/>
      <c r="T7" s="330"/>
      <c r="U7" s="330"/>
      <c r="V7" s="330"/>
      <c r="W7" s="331"/>
      <c r="X7" s="332" t="s">
        <v>111</v>
      </c>
      <c r="Y7" s="329" t="s">
        <v>100</v>
      </c>
      <c r="Z7" s="330"/>
      <c r="AA7" s="330"/>
      <c r="AB7" s="330"/>
      <c r="AC7" s="330"/>
      <c r="AD7" s="330"/>
      <c r="AE7" s="331"/>
      <c r="AF7"/>
      <c r="AG7" s="106" t="s">
        <v>93</v>
      </c>
      <c r="AH7" s="106" t="s">
        <v>94</v>
      </c>
      <c r="AI7" s="106" t="s">
        <v>95</v>
      </c>
      <c r="AJ7" s="106" t="s">
        <v>96</v>
      </c>
      <c r="AK7" s="106" t="s">
        <v>93</v>
      </c>
      <c r="AL7" s="106" t="s">
        <v>96</v>
      </c>
      <c r="AM7" s="106" t="s">
        <v>97</v>
      </c>
      <c r="AN7" s="98"/>
    </row>
    <row r="8" spans="2:45" ht="37.5" customHeight="1">
      <c r="B8" s="362"/>
      <c r="C8" s="340"/>
      <c r="D8" s="321"/>
      <c r="E8" s="321"/>
      <c r="F8" s="115" t="s">
        <v>12</v>
      </c>
      <c r="G8" s="115" t="s">
        <v>13</v>
      </c>
      <c r="H8" s="166" t="s">
        <v>18</v>
      </c>
      <c r="I8" s="115" t="s">
        <v>14</v>
      </c>
      <c r="J8" s="115" t="s">
        <v>22</v>
      </c>
      <c r="K8" s="115" t="s">
        <v>19</v>
      </c>
      <c r="L8" s="115" t="s">
        <v>15</v>
      </c>
      <c r="M8" s="152"/>
      <c r="P8" s="347"/>
      <c r="Q8" s="34" t="s">
        <v>12</v>
      </c>
      <c r="R8" s="34" t="s">
        <v>13</v>
      </c>
      <c r="S8" s="20" t="s">
        <v>18</v>
      </c>
      <c r="T8" s="34" t="s">
        <v>14</v>
      </c>
      <c r="U8" s="34" t="s">
        <v>22</v>
      </c>
      <c r="V8" s="34" t="s">
        <v>19</v>
      </c>
      <c r="W8" s="34" t="s">
        <v>15</v>
      </c>
      <c r="X8" s="332"/>
      <c r="Y8" s="34" t="s">
        <v>12</v>
      </c>
      <c r="Z8" s="34" t="s">
        <v>13</v>
      </c>
      <c r="AA8" s="20" t="s">
        <v>18</v>
      </c>
      <c r="AB8" s="34" t="s">
        <v>14</v>
      </c>
      <c r="AC8" s="34" t="s">
        <v>22</v>
      </c>
      <c r="AD8" s="34" t="s">
        <v>19</v>
      </c>
      <c r="AE8" s="34" t="s">
        <v>15</v>
      </c>
      <c r="AG8" s="106" t="s">
        <v>85</v>
      </c>
      <c r="AH8" s="106" t="s">
        <v>23</v>
      </c>
      <c r="AI8" s="106" t="s">
        <v>86</v>
      </c>
      <c r="AJ8" s="106" t="s">
        <v>87</v>
      </c>
      <c r="AK8" s="106" t="s">
        <v>88</v>
      </c>
      <c r="AL8" s="106" t="s">
        <v>89</v>
      </c>
      <c r="AM8" s="106" t="s">
        <v>90</v>
      </c>
      <c r="AN8" s="107" t="s">
        <v>91</v>
      </c>
      <c r="AO8" s="141" t="s">
        <v>129</v>
      </c>
      <c r="AP8" s="141" t="s">
        <v>82</v>
      </c>
      <c r="AQ8" s="141" t="s">
        <v>128</v>
      </c>
    </row>
    <row r="9" spans="2:45">
      <c r="B9" s="352" t="s">
        <v>172</v>
      </c>
      <c r="C9" s="353"/>
      <c r="D9" s="353"/>
      <c r="E9" s="353"/>
      <c r="F9" s="353"/>
      <c r="G9" s="353"/>
      <c r="H9" s="353"/>
      <c r="I9" s="353"/>
      <c r="J9" s="353"/>
      <c r="K9" s="353"/>
      <c r="L9" s="353"/>
      <c r="M9" s="153"/>
      <c r="AH9" s="98"/>
      <c r="AI9" s="98"/>
      <c r="AJ9" s="98"/>
      <c r="AK9" s="98"/>
      <c r="AL9" s="98"/>
      <c r="AM9" s="98"/>
      <c r="AN9" s="98"/>
    </row>
    <row r="10" spans="2:45" customFormat="1" ht="24" customHeight="1">
      <c r="B10" s="354" t="s">
        <v>154</v>
      </c>
      <c r="C10" s="354"/>
      <c r="D10" s="135">
        <v>1544.8462804907497</v>
      </c>
      <c r="E10" s="135">
        <v>0</v>
      </c>
      <c r="F10" s="135">
        <v>6.5544065305200004E-4</v>
      </c>
      <c r="G10" s="135">
        <v>6.5544065305200004E-4</v>
      </c>
      <c r="H10" s="135">
        <v>94.984616728947572</v>
      </c>
      <c r="I10" s="135">
        <v>0</v>
      </c>
      <c r="J10" s="135">
        <v>6.5544065305200004E-4</v>
      </c>
      <c r="K10" s="135">
        <v>6.5544065305200017E-2</v>
      </c>
      <c r="L10" s="135">
        <v>9.831609795780006E-3</v>
      </c>
      <c r="M10" s="19"/>
      <c r="O10" s="98"/>
      <c r="P10" s="98"/>
      <c r="Q10" s="98"/>
      <c r="R10" s="98"/>
      <c r="S10" s="98"/>
      <c r="T10" s="98"/>
      <c r="AJ10" s="98"/>
      <c r="AK10" s="98"/>
      <c r="AL10" s="98"/>
      <c r="AM10" s="98"/>
      <c r="AN10" s="98"/>
      <c r="AR10" s="98"/>
      <c r="AS10" s="98"/>
    </row>
    <row r="11" spans="2:45" customFormat="1" ht="31.5" customHeight="1">
      <c r="B11" s="341" t="s">
        <v>164</v>
      </c>
      <c r="C11" s="341"/>
      <c r="D11" s="143">
        <f>P11-X11</f>
        <v>286.92510912</v>
      </c>
      <c r="E11" s="143">
        <f>AP11</f>
        <v>0</v>
      </c>
      <c r="F11" s="143">
        <f>Q11-Y11</f>
        <v>1.4346255455999999E-4</v>
      </c>
      <c r="G11" s="143">
        <f>R11-Z11</f>
        <v>1.4346255455999999E-4</v>
      </c>
      <c r="H11" s="143">
        <f t="shared" ref="H11:H18" si="0">S11-AA11+AQ11</f>
        <v>58.217344110950393</v>
      </c>
      <c r="I11" s="143">
        <f t="shared" ref="I11:L11" si="1">T11-AB11</f>
        <v>0</v>
      </c>
      <c r="J11" s="143">
        <f t="shared" si="1"/>
        <v>1.4346255455999999E-4</v>
      </c>
      <c r="K11" s="143">
        <f t="shared" si="1"/>
        <v>1.4346255456000004E-2</v>
      </c>
      <c r="L11" s="143">
        <f t="shared" si="1"/>
        <v>2.1519383183999999E-3</v>
      </c>
      <c r="M11" s="19"/>
      <c r="P11" s="132">
        <v>963.61199999999997</v>
      </c>
      <c r="Q11" s="132">
        <v>4.8180599999999999E-4</v>
      </c>
      <c r="R11" s="132">
        <v>4.8180599999999999E-4</v>
      </c>
      <c r="S11" s="132">
        <v>195.51767903999999</v>
      </c>
      <c r="T11" s="132">
        <v>0</v>
      </c>
      <c r="U11" s="132">
        <v>4.8180599999999999E-4</v>
      </c>
      <c r="V11" s="132">
        <v>4.8180600000000004E-2</v>
      </c>
      <c r="W11" s="132">
        <v>7.2270900000000002E-3</v>
      </c>
      <c r="X11" s="110">
        <f>(1-$AN11)*P11</f>
        <v>676.68689087999996</v>
      </c>
      <c r="Y11" s="110">
        <f>(1-$AN$11)*Q11</f>
        <v>3.3834344544E-4</v>
      </c>
      <c r="Z11" s="110">
        <f t="shared" ref="Z11:AE11" si="2">(1-$AN$11)*R11</f>
        <v>3.3834344544E-4</v>
      </c>
      <c r="AA11" s="110">
        <f t="shared" si="2"/>
        <v>137.3003349290496</v>
      </c>
      <c r="AB11" s="110">
        <f t="shared" si="2"/>
        <v>0</v>
      </c>
      <c r="AC11" s="110">
        <f t="shared" si="2"/>
        <v>3.3834344544E-4</v>
      </c>
      <c r="AD11" s="110">
        <f t="shared" si="2"/>
        <v>3.3834344544E-2</v>
      </c>
      <c r="AE11" s="110">
        <f t="shared" si="2"/>
        <v>5.0751516816000004E-3</v>
      </c>
      <c r="AG11" s="111">
        <v>0.12</v>
      </c>
      <c r="AH11" s="111">
        <v>0.16</v>
      </c>
      <c r="AI11" s="111">
        <v>0</v>
      </c>
      <c r="AJ11" s="111">
        <v>0</v>
      </c>
      <c r="AK11" s="111">
        <v>0.05</v>
      </c>
      <c r="AL11" s="111">
        <v>0</v>
      </c>
      <c r="AM11" s="111">
        <v>0</v>
      </c>
      <c r="AN11" s="111">
        <f t="shared" ref="AN11" si="3">100%-(100%-AG11)*(100%-AH11)*(100%-AI11)*(100%-AJ11)*(100%-AK11)*(100%-AL11)*(100%-AM11)</f>
        <v>0.29776000000000002</v>
      </c>
      <c r="AO11" s="149"/>
      <c r="AP11" s="149">
        <f>AO11*1*3.6</f>
        <v>0</v>
      </c>
      <c r="AQ11" s="149">
        <f>AP11*'Wskażniki emisji'!$B$17/3.6</f>
        <v>0</v>
      </c>
      <c r="AR11" s="98"/>
      <c r="AS11" s="98"/>
    </row>
    <row r="12" spans="2:45" customFormat="1" ht="28.5" customHeight="1">
      <c r="B12" s="318" t="s">
        <v>165</v>
      </c>
      <c r="C12" s="319"/>
      <c r="D12" s="143">
        <f t="shared" ref="D12:D18" si="4">P12-X12</f>
        <v>99.592293236071697</v>
      </c>
      <c r="E12" s="143">
        <f t="shared" ref="E12:E18" si="5">AP12</f>
        <v>0</v>
      </c>
      <c r="F12" s="143">
        <f t="shared" ref="F12:F18" si="6">Q12-Y12</f>
        <v>4.979614661803585E-5</v>
      </c>
      <c r="G12" s="143">
        <f t="shared" ref="G12:G18" si="7">R12-Z12</f>
        <v>4.979614661803585E-5</v>
      </c>
      <c r="H12" s="143">
        <f t="shared" si="0"/>
        <v>12.509634493515925</v>
      </c>
      <c r="I12" s="143">
        <f t="shared" ref="I12:I18" si="8">T12-AB12</f>
        <v>0</v>
      </c>
      <c r="J12" s="143">
        <f t="shared" ref="J12:J18" si="9">U12-AC12</f>
        <v>4.979614661803585E-5</v>
      </c>
      <c r="K12" s="143">
        <f t="shared" ref="K12:K18" si="10">V12-AD12</f>
        <v>4.9796146618035862E-3</v>
      </c>
      <c r="L12" s="143">
        <f t="shared" ref="L12:L18" si="11">W12-AE12</f>
        <v>7.4694219927053779E-4</v>
      </c>
      <c r="M12" s="19"/>
      <c r="P12" s="132">
        <v>255.98762640000004</v>
      </c>
      <c r="Q12" s="132">
        <v>1.2799381320000001E-4</v>
      </c>
      <c r="R12" s="132">
        <v>1.2799381320000001E-4</v>
      </c>
      <c r="S12" s="132">
        <v>32.154211305648005</v>
      </c>
      <c r="T12" s="132">
        <v>0</v>
      </c>
      <c r="U12" s="132">
        <v>1.2799381320000001E-4</v>
      </c>
      <c r="V12" s="132">
        <v>1.2799381320000002E-2</v>
      </c>
      <c r="W12" s="132">
        <v>1.9199071980000003E-3</v>
      </c>
      <c r="X12" s="110">
        <f>(1-$AN12)*P12</f>
        <v>156.39533316392834</v>
      </c>
      <c r="Y12" s="110">
        <f t="shared" ref="Y12:AE12" si="12">(1-$AN12)*Q12</f>
        <v>7.8197666581964156E-5</v>
      </c>
      <c r="Z12" s="110">
        <f t="shared" si="12"/>
        <v>7.8197666581964156E-5</v>
      </c>
      <c r="AA12" s="110">
        <f t="shared" si="12"/>
        <v>19.64457681213208</v>
      </c>
      <c r="AB12" s="110">
        <f t="shared" si="12"/>
        <v>0</v>
      </c>
      <c r="AC12" s="110">
        <f t="shared" si="12"/>
        <v>7.8197666581964156E-5</v>
      </c>
      <c r="AD12" s="110">
        <f t="shared" si="12"/>
        <v>7.8197666581964163E-3</v>
      </c>
      <c r="AE12" s="110">
        <f t="shared" si="12"/>
        <v>1.1729649987294625E-3</v>
      </c>
      <c r="AG12" s="111">
        <v>0.12</v>
      </c>
      <c r="AH12" s="111">
        <v>0.16</v>
      </c>
      <c r="AI12" s="111">
        <v>0</v>
      </c>
      <c r="AJ12" s="111">
        <v>0</v>
      </c>
      <c r="AK12" s="111">
        <v>0.05</v>
      </c>
      <c r="AL12" s="111">
        <v>0.13</v>
      </c>
      <c r="AM12" s="111">
        <v>0</v>
      </c>
      <c r="AN12" s="111">
        <f t="shared" ref="AN12" si="13">100%-(100%-AG12)*(100%-AH12)*(100%-AI12)*(100%-AJ12)*(100%-AK12)*(100%-AL12)*(100%-AM12)</f>
        <v>0.38905120000000004</v>
      </c>
      <c r="AO12" s="149"/>
      <c r="AP12" s="149">
        <f t="shared" ref="AP12:AP18" si="14">AO12*1*3.6</f>
        <v>0</v>
      </c>
      <c r="AQ12" s="149">
        <f>AP12*'Wskażniki emisji'!$B$17/3.6</f>
        <v>0</v>
      </c>
      <c r="AR12" s="98"/>
      <c r="AS12" s="98"/>
    </row>
    <row r="13" spans="2:45" customFormat="1" ht="31.5" customHeight="1">
      <c r="B13" s="318" t="s">
        <v>166</v>
      </c>
      <c r="C13" s="319"/>
      <c r="D13" s="143">
        <f t="shared" si="4"/>
        <v>398.19475152447012</v>
      </c>
      <c r="E13" s="143">
        <f t="shared" si="5"/>
        <v>0</v>
      </c>
      <c r="F13" s="143">
        <f t="shared" si="6"/>
        <v>1.7534408335564034E-4</v>
      </c>
      <c r="G13" s="143">
        <f t="shared" si="7"/>
        <v>1.7534408335564034E-4</v>
      </c>
      <c r="H13" s="143">
        <f t="shared" si="0"/>
        <v>32.116821389631681</v>
      </c>
      <c r="I13" s="143">
        <f t="shared" si="8"/>
        <v>0</v>
      </c>
      <c r="J13" s="143">
        <f t="shared" si="9"/>
        <v>1.7534408335564034E-4</v>
      </c>
      <c r="K13" s="143">
        <f t="shared" si="10"/>
        <v>1.7534408335564036E-2</v>
      </c>
      <c r="L13" s="143">
        <f t="shared" si="11"/>
        <v>2.6301612503346053E-3</v>
      </c>
      <c r="M13" s="19"/>
      <c r="P13" s="132">
        <v>945.36728673750008</v>
      </c>
      <c r="Q13" s="132">
        <v>4.1629016880000006E-4</v>
      </c>
      <c r="R13" s="132">
        <v>4.1629016880000006E-4</v>
      </c>
      <c r="S13" s="132">
        <v>76.249604444832002</v>
      </c>
      <c r="T13" s="132">
        <v>0</v>
      </c>
      <c r="U13" s="132">
        <v>4.1629016880000006E-4</v>
      </c>
      <c r="V13" s="132">
        <v>4.1629016880000008E-2</v>
      </c>
      <c r="W13" s="132">
        <v>6.2443525320000012E-3</v>
      </c>
      <c r="X13" s="110">
        <f t="shared" ref="X13:X18" si="15">(1-$AN13)*P13</f>
        <v>547.17253521302996</v>
      </c>
      <c r="Y13" s="110">
        <f t="shared" ref="Y13:Y18" si="16">(1-$AN13)*Q13</f>
        <v>2.4094608544435972E-4</v>
      </c>
      <c r="Z13" s="110">
        <f t="shared" ref="Z13:Z18" si="17">(1-$AN13)*R13</f>
        <v>2.4094608544435972E-4</v>
      </c>
      <c r="AA13" s="110">
        <f t="shared" ref="AA13:AA18" si="18">(1-$AN13)*S13</f>
        <v>44.132783055200321</v>
      </c>
      <c r="AB13" s="110">
        <f t="shared" ref="AB13:AB18" si="19">(1-$AN13)*T13</f>
        <v>0</v>
      </c>
      <c r="AC13" s="110">
        <f t="shared" ref="AC13:AC18" si="20">(1-$AN13)*U13</f>
        <v>2.4094608544435972E-4</v>
      </c>
      <c r="AD13" s="110">
        <f t="shared" ref="AD13:AD18" si="21">(1-$AN13)*V13</f>
        <v>2.4094608544435972E-2</v>
      </c>
      <c r="AE13" s="110">
        <f t="shared" ref="AE13:AE18" si="22">(1-$AN13)*W13</f>
        <v>3.614191281665396E-3</v>
      </c>
      <c r="AG13" s="111">
        <v>0.12</v>
      </c>
      <c r="AH13" s="111">
        <v>0.16</v>
      </c>
      <c r="AI13" s="111">
        <v>0</v>
      </c>
      <c r="AJ13" s="111">
        <v>0.1</v>
      </c>
      <c r="AK13" s="111">
        <v>0</v>
      </c>
      <c r="AL13" s="111">
        <v>0.13</v>
      </c>
      <c r="AM13" s="111">
        <v>0</v>
      </c>
      <c r="AN13" s="111">
        <f t="shared" ref="AN13:AN18" si="23">100%-(100%-AG13)*(100%-AH13)*(100%-AI13)*(100%-AJ13)*(100%-AK13)*(100%-AL13)*(100%-AM13)</f>
        <v>0.42120639999999998</v>
      </c>
      <c r="AO13" s="149"/>
      <c r="AP13" s="149">
        <f t="shared" si="14"/>
        <v>0</v>
      </c>
      <c r="AQ13" s="149">
        <f>AP13*'Wskażniki emisji'!$B$17/3.6</f>
        <v>0</v>
      </c>
      <c r="AR13" s="98"/>
      <c r="AS13" s="98"/>
    </row>
    <row r="14" spans="2:45" customFormat="1" ht="42" customHeight="1">
      <c r="B14" s="318" t="s">
        <v>167</v>
      </c>
      <c r="C14" s="319"/>
      <c r="D14" s="143">
        <f t="shared" si="4"/>
        <v>363.58814713220005</v>
      </c>
      <c r="E14" s="143">
        <f t="shared" si="5"/>
        <v>0</v>
      </c>
      <c r="F14" s="143">
        <f t="shared" si="6"/>
        <v>1.3683564687682356E-4</v>
      </c>
      <c r="G14" s="143">
        <f t="shared" si="7"/>
        <v>1.3683564687682356E-4</v>
      </c>
      <c r="H14" s="143">
        <f t="shared" si="0"/>
        <v>38.113102435132518</v>
      </c>
      <c r="I14" s="143">
        <f t="shared" si="8"/>
        <v>0</v>
      </c>
      <c r="J14" s="143">
        <f t="shared" si="9"/>
        <v>1.3683564687682356E-4</v>
      </c>
      <c r="K14" s="143">
        <f t="shared" si="10"/>
        <v>1.3683564687682358E-2</v>
      </c>
      <c r="L14" s="143">
        <f t="shared" si="11"/>
        <v>2.052534703152354E-3</v>
      </c>
      <c r="M14" s="19"/>
      <c r="P14" s="132">
        <v>682.63546601250005</v>
      </c>
      <c r="Q14" s="132">
        <v>2.5690844519999999E-4</v>
      </c>
      <c r="R14" s="132">
        <v>2.5690844519999999E-4</v>
      </c>
      <c r="S14" s="132">
        <v>71.557215622127998</v>
      </c>
      <c r="T14" s="132">
        <v>0</v>
      </c>
      <c r="U14" s="132">
        <v>2.5690844519999999E-4</v>
      </c>
      <c r="V14" s="132">
        <v>2.5690844520000002E-2</v>
      </c>
      <c r="W14" s="132">
        <v>3.8536266780000005E-3</v>
      </c>
      <c r="X14" s="110">
        <f t="shared" si="15"/>
        <v>319.0473188803</v>
      </c>
      <c r="Y14" s="110">
        <f t="shared" si="16"/>
        <v>1.2007279832317643E-4</v>
      </c>
      <c r="Z14" s="110">
        <f t="shared" si="17"/>
        <v>1.2007279832317643E-4</v>
      </c>
      <c r="AA14" s="110">
        <f t="shared" si="18"/>
        <v>33.44411318699548</v>
      </c>
      <c r="AB14" s="110">
        <f t="shared" si="19"/>
        <v>0</v>
      </c>
      <c r="AC14" s="110">
        <f t="shared" si="20"/>
        <v>1.2007279832317643E-4</v>
      </c>
      <c r="AD14" s="110">
        <f t="shared" si="21"/>
        <v>1.2007279832317645E-2</v>
      </c>
      <c r="AE14" s="110">
        <f t="shared" si="22"/>
        <v>1.8010919748476467E-3</v>
      </c>
      <c r="AG14" s="111">
        <v>0.12</v>
      </c>
      <c r="AH14" s="111">
        <v>0.16</v>
      </c>
      <c r="AI14" s="111">
        <v>0</v>
      </c>
      <c r="AJ14" s="111">
        <v>0.15</v>
      </c>
      <c r="AK14" s="111">
        <v>0.05</v>
      </c>
      <c r="AL14" s="111">
        <v>0.13</v>
      </c>
      <c r="AM14" s="111">
        <v>0.1</v>
      </c>
      <c r="AN14" s="111">
        <f t="shared" si="23"/>
        <v>0.5326241679999999</v>
      </c>
      <c r="AO14" s="149"/>
      <c r="AP14" s="149">
        <f t="shared" si="14"/>
        <v>0</v>
      </c>
      <c r="AQ14" s="149">
        <f>AP14*'Wskażniki emisji'!$B$17/3.6</f>
        <v>0</v>
      </c>
      <c r="AR14" s="98"/>
      <c r="AS14" s="98"/>
    </row>
    <row r="15" spans="2:45" customFormat="1" ht="23.25" customHeight="1">
      <c r="B15" s="318" t="s">
        <v>168</v>
      </c>
      <c r="C15" s="319"/>
      <c r="D15" s="143">
        <f t="shared" si="4"/>
        <v>94.133044873530025</v>
      </c>
      <c r="E15" s="143">
        <f t="shared" si="5"/>
        <v>0</v>
      </c>
      <c r="F15" s="143">
        <f t="shared" si="6"/>
        <v>3.7915714980000015E-5</v>
      </c>
      <c r="G15" s="143">
        <f t="shared" si="7"/>
        <v>3.7915714980000015E-5</v>
      </c>
      <c r="H15" s="143">
        <f t="shared" si="0"/>
        <v>11.000522901607201</v>
      </c>
      <c r="I15" s="143">
        <f t="shared" si="8"/>
        <v>0</v>
      </c>
      <c r="J15" s="143">
        <f t="shared" si="9"/>
        <v>3.7915714980000015E-5</v>
      </c>
      <c r="K15" s="143">
        <f t="shared" si="10"/>
        <v>3.7915714980000011E-3</v>
      </c>
      <c r="L15" s="143">
        <f t="shared" si="11"/>
        <v>5.6873572470000011E-4</v>
      </c>
      <c r="M15" s="19"/>
      <c r="P15" s="132">
        <v>248.49016650000004</v>
      </c>
      <c r="Q15" s="132">
        <v>1.0008900000000001E-4</v>
      </c>
      <c r="R15" s="132">
        <v>1.0008900000000001E-4</v>
      </c>
      <c r="S15" s="132">
        <v>29.038917960000003</v>
      </c>
      <c r="T15" s="132">
        <v>0</v>
      </c>
      <c r="U15" s="132">
        <v>1.0008900000000001E-4</v>
      </c>
      <c r="V15" s="132">
        <v>1.0008900000000001E-2</v>
      </c>
      <c r="W15" s="132">
        <v>1.5013350000000001E-3</v>
      </c>
      <c r="X15" s="110">
        <f t="shared" si="15"/>
        <v>154.35712162647002</v>
      </c>
      <c r="Y15" s="110">
        <f t="shared" si="16"/>
        <v>6.2173285019999995E-5</v>
      </c>
      <c r="Z15" s="110">
        <f t="shared" si="17"/>
        <v>6.2173285019999995E-5</v>
      </c>
      <c r="AA15" s="110">
        <f t="shared" si="18"/>
        <v>18.038395058392801</v>
      </c>
      <c r="AB15" s="110">
        <f t="shared" si="19"/>
        <v>0</v>
      </c>
      <c r="AC15" s="110">
        <f t="shared" si="20"/>
        <v>6.2173285019999995E-5</v>
      </c>
      <c r="AD15" s="110">
        <f t="shared" si="21"/>
        <v>6.217328502E-3</v>
      </c>
      <c r="AE15" s="110">
        <f t="shared" si="22"/>
        <v>9.3259927530000002E-4</v>
      </c>
      <c r="AG15" s="111">
        <v>0</v>
      </c>
      <c r="AH15" s="111">
        <v>0.16</v>
      </c>
      <c r="AI15" s="111">
        <v>0</v>
      </c>
      <c r="AJ15" s="111">
        <v>0.13</v>
      </c>
      <c r="AK15" s="111">
        <v>0</v>
      </c>
      <c r="AL15" s="111">
        <v>0.15</v>
      </c>
      <c r="AM15" s="111">
        <v>0</v>
      </c>
      <c r="AN15" s="111">
        <f t="shared" si="23"/>
        <v>0.37882000000000005</v>
      </c>
      <c r="AO15" s="149"/>
      <c r="AP15" s="149">
        <f t="shared" si="14"/>
        <v>0</v>
      </c>
      <c r="AQ15" s="149">
        <f>AP15*'Wskażniki emisji'!$B$17/3.6</f>
        <v>0</v>
      </c>
      <c r="AR15" s="98"/>
      <c r="AS15" s="98"/>
    </row>
    <row r="16" spans="2:45" customFormat="1" ht="23.25" customHeight="1">
      <c r="B16" s="318" t="s">
        <v>170</v>
      </c>
      <c r="C16" s="319"/>
      <c r="D16" s="143">
        <f t="shared" ref="D16" si="24">P16-X16</f>
        <v>187.01501536080002</v>
      </c>
      <c r="E16" s="143">
        <f t="shared" ref="E16" si="25">AP16</f>
        <v>0</v>
      </c>
      <c r="F16" s="143">
        <f t="shared" ref="F16" si="26">Q16-Y16</f>
        <v>9.3507507680400023E-5</v>
      </c>
      <c r="G16" s="143">
        <f t="shared" ref="G16" si="27">R16-Z16</f>
        <v>9.3507507680400023E-5</v>
      </c>
      <c r="H16" s="143">
        <f t="shared" si="0"/>
        <v>16.398459753119859</v>
      </c>
      <c r="I16" s="143">
        <f t="shared" ref="I16" si="28">T16-AB16</f>
        <v>0</v>
      </c>
      <c r="J16" s="143">
        <f t="shared" ref="J16" si="29">U16-AC16</f>
        <v>9.3507507680400023E-5</v>
      </c>
      <c r="K16" s="143">
        <f t="shared" ref="K16" si="30">V16-AD16</f>
        <v>9.3507507680400011E-3</v>
      </c>
      <c r="L16" s="143">
        <f t="shared" ref="L16" si="31">W16-AE16</f>
        <v>1.4026126152060004E-3</v>
      </c>
      <c r="M16" s="19"/>
      <c r="P16" s="132">
        <v>523.26529200000004</v>
      </c>
      <c r="Q16" s="132">
        <v>2.61632646E-4</v>
      </c>
      <c r="R16" s="132">
        <v>2.61632646E-4</v>
      </c>
      <c r="S16" s="132">
        <v>45.882651799440005</v>
      </c>
      <c r="T16" s="132">
        <v>0</v>
      </c>
      <c r="U16" s="132">
        <v>2.61632646E-4</v>
      </c>
      <c r="V16" s="132">
        <v>2.6163264600000003E-2</v>
      </c>
      <c r="W16" s="132">
        <v>3.9244896900000005E-3</v>
      </c>
      <c r="X16" s="110">
        <f t="shared" ref="X16:X17" si="32">(1-$AN16)*P16</f>
        <v>336.25027663920002</v>
      </c>
      <c r="Y16" s="110">
        <f t="shared" ref="Y16:Y17" si="33">(1-$AN16)*Q16</f>
        <v>1.6812513831959998E-4</v>
      </c>
      <c r="Z16" s="110">
        <f t="shared" ref="Z16:Z17" si="34">(1-$AN16)*R16</f>
        <v>1.6812513831959998E-4</v>
      </c>
      <c r="AA16" s="110">
        <f t="shared" ref="AA16:AA17" si="35">(1-$AN16)*S16</f>
        <v>29.484192046320146</v>
      </c>
      <c r="AB16" s="110">
        <f t="shared" ref="AB16:AB17" si="36">(1-$AN16)*T16</f>
        <v>0</v>
      </c>
      <c r="AC16" s="110">
        <f t="shared" ref="AC16:AC17" si="37">(1-$AN16)*U16</f>
        <v>1.6812513831959998E-4</v>
      </c>
      <c r="AD16" s="110">
        <f t="shared" ref="AD16:AD17" si="38">(1-$AN16)*V16</f>
        <v>1.6812513831960002E-2</v>
      </c>
      <c r="AE16" s="110">
        <f t="shared" ref="AE16:AE17" si="39">(1-$AN16)*W16</f>
        <v>2.521877074794E-3</v>
      </c>
      <c r="AG16" s="111">
        <v>0</v>
      </c>
      <c r="AH16" s="111">
        <v>0.16</v>
      </c>
      <c r="AI16" s="111"/>
      <c r="AJ16" s="111">
        <v>0.1</v>
      </c>
      <c r="AK16" s="111">
        <v>0</v>
      </c>
      <c r="AL16" s="111">
        <v>0.15</v>
      </c>
      <c r="AM16" s="111">
        <v>0</v>
      </c>
      <c r="AN16" s="111">
        <f t="shared" si="23"/>
        <v>0.35740000000000005</v>
      </c>
      <c r="AO16" s="149"/>
      <c r="AP16" s="149"/>
      <c r="AQ16" s="149"/>
      <c r="AR16" s="98"/>
      <c r="AS16" s="98"/>
    </row>
    <row r="17" spans="2:48" customFormat="1" ht="24" customHeight="1">
      <c r="B17" s="318" t="s">
        <v>171</v>
      </c>
      <c r="C17" s="319"/>
      <c r="D17" s="143">
        <f t="shared" si="4"/>
        <v>34.030259999999998</v>
      </c>
      <c r="E17" s="143">
        <f t="shared" si="5"/>
        <v>0</v>
      </c>
      <c r="F17" s="143">
        <f t="shared" si="6"/>
        <v>1.7015129999999994E-5</v>
      </c>
      <c r="G17" s="143">
        <f t="shared" si="7"/>
        <v>1.7015129999999994E-5</v>
      </c>
      <c r="H17" s="143">
        <f t="shared" si="0"/>
        <v>3.9242670731999993</v>
      </c>
      <c r="I17" s="143">
        <f t="shared" si="8"/>
        <v>0</v>
      </c>
      <c r="J17" s="143">
        <f t="shared" si="9"/>
        <v>1.7015129999999994E-5</v>
      </c>
      <c r="K17" s="143">
        <f t="shared" si="10"/>
        <v>1.701513E-3</v>
      </c>
      <c r="L17" s="143">
        <f t="shared" si="11"/>
        <v>2.5522695E-4</v>
      </c>
      <c r="M17" s="19"/>
      <c r="P17" s="132">
        <v>340.30260000000004</v>
      </c>
      <c r="Q17" s="132">
        <v>1.7015130000000003E-4</v>
      </c>
      <c r="R17" s="132">
        <v>1.7015130000000003E-4</v>
      </c>
      <c r="S17" s="132">
        <v>39.242670732000008</v>
      </c>
      <c r="T17" s="132">
        <v>0</v>
      </c>
      <c r="U17" s="132">
        <v>1.7015130000000003E-4</v>
      </c>
      <c r="V17" s="132">
        <v>1.7015130000000003E-2</v>
      </c>
      <c r="W17" s="132">
        <v>2.5522695000000004E-3</v>
      </c>
      <c r="X17" s="110">
        <f t="shared" si="32"/>
        <v>306.27234000000004</v>
      </c>
      <c r="Y17" s="110">
        <f t="shared" si="33"/>
        <v>1.5313617000000003E-4</v>
      </c>
      <c r="Z17" s="110">
        <f t="shared" si="34"/>
        <v>1.5313617000000003E-4</v>
      </c>
      <c r="AA17" s="110">
        <f t="shared" si="35"/>
        <v>35.318403658800008</v>
      </c>
      <c r="AB17" s="110">
        <f t="shared" si="36"/>
        <v>0</v>
      </c>
      <c r="AC17" s="110">
        <f t="shared" si="37"/>
        <v>1.5313617000000003E-4</v>
      </c>
      <c r="AD17" s="110">
        <f t="shared" si="38"/>
        <v>1.5313617000000003E-2</v>
      </c>
      <c r="AE17" s="110">
        <f t="shared" si="39"/>
        <v>2.2970425500000004E-3</v>
      </c>
      <c r="AG17" s="111">
        <v>0</v>
      </c>
      <c r="AH17" s="111">
        <v>0</v>
      </c>
      <c r="AI17" s="111">
        <v>0</v>
      </c>
      <c r="AJ17" s="111">
        <v>0</v>
      </c>
      <c r="AK17" s="111">
        <v>0</v>
      </c>
      <c r="AL17" s="111">
        <v>0.1</v>
      </c>
      <c r="AM17" s="111">
        <v>0</v>
      </c>
      <c r="AN17" s="111">
        <f t="shared" si="23"/>
        <v>9.9999999999999978E-2</v>
      </c>
      <c r="AO17" s="149"/>
      <c r="AP17" s="149">
        <f t="shared" si="14"/>
        <v>0</v>
      </c>
      <c r="AQ17" s="149">
        <f>AP17*'Wskażniki emisji'!$B$17/3.6</f>
        <v>0</v>
      </c>
      <c r="AR17" s="98"/>
      <c r="AS17" s="98"/>
    </row>
    <row r="18" spans="2:48" customFormat="1">
      <c r="B18" s="318" t="s">
        <v>169</v>
      </c>
      <c r="C18" s="319"/>
      <c r="D18" s="143">
        <f t="shared" si="4"/>
        <v>0</v>
      </c>
      <c r="E18" s="143">
        <f t="shared" si="5"/>
        <v>35.568000000000005</v>
      </c>
      <c r="F18" s="143">
        <f t="shared" si="6"/>
        <v>0</v>
      </c>
      <c r="G18" s="143">
        <f t="shared" si="7"/>
        <v>0</v>
      </c>
      <c r="H18" s="143">
        <f t="shared" si="0"/>
        <v>8.0225600000000021</v>
      </c>
      <c r="I18" s="143">
        <f t="shared" si="8"/>
        <v>0</v>
      </c>
      <c r="J18" s="143">
        <f t="shared" si="9"/>
        <v>0</v>
      </c>
      <c r="K18" s="143">
        <f t="shared" si="10"/>
        <v>0</v>
      </c>
      <c r="L18" s="143">
        <f t="shared" si="11"/>
        <v>0</v>
      </c>
      <c r="M18" s="19"/>
      <c r="P18" s="132"/>
      <c r="Q18" s="132"/>
      <c r="R18" s="132"/>
      <c r="S18" s="132"/>
      <c r="T18" s="132"/>
      <c r="U18" s="132"/>
      <c r="V18" s="132"/>
      <c r="W18" s="132"/>
      <c r="X18" s="110">
        <f t="shared" si="15"/>
        <v>0</v>
      </c>
      <c r="Y18" s="110">
        <f t="shared" si="16"/>
        <v>0</v>
      </c>
      <c r="Z18" s="110">
        <f t="shared" si="17"/>
        <v>0</v>
      </c>
      <c r="AA18" s="110">
        <f t="shared" si="18"/>
        <v>0</v>
      </c>
      <c r="AB18" s="110">
        <f t="shared" si="19"/>
        <v>0</v>
      </c>
      <c r="AC18" s="110">
        <f t="shared" si="20"/>
        <v>0</v>
      </c>
      <c r="AD18" s="110">
        <f t="shared" si="21"/>
        <v>0</v>
      </c>
      <c r="AE18" s="110">
        <f t="shared" si="22"/>
        <v>0</v>
      </c>
      <c r="AG18" s="111"/>
      <c r="AH18" s="111"/>
      <c r="AI18" s="111"/>
      <c r="AJ18" s="111"/>
      <c r="AK18" s="111"/>
      <c r="AL18" s="111"/>
      <c r="AM18" s="111"/>
      <c r="AN18" s="111">
        <f t="shared" si="23"/>
        <v>0</v>
      </c>
      <c r="AO18" s="149">
        <v>9.8800000000000008</v>
      </c>
      <c r="AP18" s="149">
        <f t="shared" si="14"/>
        <v>35.568000000000005</v>
      </c>
      <c r="AQ18" s="149">
        <f>AP18*'Wskażniki emisji'!$B$17/3.6</f>
        <v>8.0225600000000021</v>
      </c>
      <c r="AR18" s="98"/>
      <c r="AS18" s="98"/>
    </row>
    <row r="19" spans="2:48" customFormat="1" ht="24.75" customHeight="1">
      <c r="B19" s="336" t="s">
        <v>131</v>
      </c>
      <c r="C19" s="337"/>
      <c r="D19" s="143">
        <f t="shared" ref="D19:L19" si="40">SUM(D11:D18)</f>
        <v>1463.4786212470717</v>
      </c>
      <c r="E19" s="143">
        <f t="shared" si="40"/>
        <v>35.568000000000005</v>
      </c>
      <c r="F19" s="143">
        <f t="shared" si="40"/>
        <v>6.5387678407089985E-4</v>
      </c>
      <c r="G19" s="143">
        <f t="shared" si="40"/>
        <v>6.5387678407089985E-4</v>
      </c>
      <c r="H19" s="143">
        <f t="shared" si="40"/>
        <v>180.3027121571576</v>
      </c>
      <c r="I19" s="143">
        <f t="shared" si="40"/>
        <v>0</v>
      </c>
      <c r="J19" s="143">
        <f t="shared" si="40"/>
        <v>6.5387678407089985E-4</v>
      </c>
      <c r="K19" s="143">
        <f t="shared" si="40"/>
        <v>6.5387678407089991E-2</v>
      </c>
      <c r="L19" s="143">
        <f t="shared" si="40"/>
        <v>9.8081517610634963E-3</v>
      </c>
      <c r="M19" s="25"/>
      <c r="P19" s="98"/>
      <c r="AG19" s="31"/>
      <c r="AH19" s="32"/>
      <c r="AI19" s="32"/>
      <c r="AJ19" s="32"/>
      <c r="AK19" s="10"/>
      <c r="AL19" s="32"/>
      <c r="AM19" s="32"/>
      <c r="AN19" s="10"/>
    </row>
    <row r="20" spans="2:48">
      <c r="B20" s="342" t="s">
        <v>130</v>
      </c>
      <c r="C20" s="343"/>
      <c r="D20" s="177">
        <f>D19/D10</f>
        <v>0.94732960795437204</v>
      </c>
      <c r="E20" s="159" t="s">
        <v>17</v>
      </c>
      <c r="F20" s="177">
        <f>F19/F10</f>
        <v>0.99761401894463186</v>
      </c>
      <c r="G20" s="177">
        <f t="shared" ref="G20:L20" si="41">G19/G10</f>
        <v>0.99761401894463186</v>
      </c>
      <c r="H20" s="177">
        <f t="shared" si="41"/>
        <v>1.8982306647788834</v>
      </c>
      <c r="I20" s="178" t="s">
        <v>17</v>
      </c>
      <c r="J20" s="177">
        <f t="shared" si="41"/>
        <v>0.99761401894463186</v>
      </c>
      <c r="K20" s="177">
        <f t="shared" si="41"/>
        <v>0.99761401894463175</v>
      </c>
      <c r="L20" s="177">
        <f t="shared" si="41"/>
        <v>0.9976140189446312</v>
      </c>
      <c r="M20" s="153"/>
      <c r="N20"/>
      <c r="O20"/>
      <c r="P20"/>
      <c r="Q20"/>
      <c r="AH20" s="100"/>
      <c r="AI20" s="101"/>
      <c r="AJ20" s="101"/>
      <c r="AK20" s="101"/>
      <c r="AM20" s="101"/>
      <c r="AN20" s="101"/>
    </row>
    <row r="21" spans="2:48" ht="16.5" customHeight="1">
      <c r="B21" s="333" t="s">
        <v>113</v>
      </c>
      <c r="C21" s="333"/>
      <c r="D21" s="333"/>
      <c r="E21" s="333"/>
      <c r="F21" s="333"/>
      <c r="G21" s="333"/>
      <c r="H21" s="333"/>
      <c r="I21" s="333"/>
      <c r="J21" s="333"/>
      <c r="K21" s="333"/>
      <c r="L21" s="333"/>
      <c r="M21" s="154"/>
      <c r="N21"/>
      <c r="O21"/>
      <c r="P21"/>
      <c r="Q21"/>
    </row>
    <row r="22" spans="2:48" s="102" customFormat="1" ht="24.75" customHeight="1">
      <c r="B22" s="354" t="s">
        <v>161</v>
      </c>
      <c r="C22" s="354"/>
      <c r="D22" s="134">
        <v>131.38999999999999</v>
      </c>
      <c r="E22" s="134">
        <v>0</v>
      </c>
      <c r="F22" s="134">
        <v>4.4488224000000004E-5</v>
      </c>
      <c r="G22" s="134">
        <v>4.4488224000000004E-5</v>
      </c>
      <c r="H22" s="134">
        <v>9.4315034880000006</v>
      </c>
      <c r="I22" s="134">
        <v>1.6312348800000003E-8</v>
      </c>
      <c r="J22" s="134">
        <v>1.1863526400000001E-4</v>
      </c>
      <c r="K22" s="134">
        <v>2.5892146368E-2</v>
      </c>
      <c r="L22" s="134">
        <v>0.25121017152000003</v>
      </c>
      <c r="M22" s="19"/>
      <c r="N22"/>
      <c r="O22"/>
      <c r="P22"/>
      <c r="Q22"/>
      <c r="AH22" s="103"/>
      <c r="AI22" s="103"/>
      <c r="AJ22" s="103"/>
      <c r="AK22" s="103"/>
      <c r="AL22" s="103"/>
      <c r="AM22" s="103"/>
      <c r="AN22" s="103"/>
    </row>
    <row r="23" spans="2:48" s="102" customFormat="1" ht="26.25" customHeight="1">
      <c r="B23" s="336" t="s">
        <v>131</v>
      </c>
      <c r="C23" s="337"/>
      <c r="D23" s="142">
        <f>100%*D22</f>
        <v>131.38999999999999</v>
      </c>
      <c r="E23" s="142">
        <f t="shared" ref="E23:L23" si="42">100%*E22</f>
        <v>0</v>
      </c>
      <c r="F23" s="142">
        <f t="shared" si="42"/>
        <v>4.4488224000000004E-5</v>
      </c>
      <c r="G23" s="142">
        <f t="shared" si="42"/>
        <v>4.4488224000000004E-5</v>
      </c>
      <c r="H23" s="142">
        <f t="shared" si="42"/>
        <v>9.4315034880000006</v>
      </c>
      <c r="I23" s="142">
        <f t="shared" si="42"/>
        <v>1.6312348800000003E-8</v>
      </c>
      <c r="J23" s="142">
        <f t="shared" si="42"/>
        <v>1.1863526400000001E-4</v>
      </c>
      <c r="K23" s="142">
        <f t="shared" si="42"/>
        <v>2.5892146368E-2</v>
      </c>
      <c r="L23" s="142">
        <f t="shared" si="42"/>
        <v>0.25121017152000003</v>
      </c>
      <c r="M23" s="104"/>
      <c r="AH23" s="103"/>
      <c r="AI23" s="103"/>
      <c r="AJ23" s="103"/>
      <c r="AK23" s="103"/>
      <c r="AL23" s="103"/>
      <c r="AM23" s="103"/>
      <c r="AN23" s="103"/>
    </row>
    <row r="24" spans="2:48" s="102" customFormat="1">
      <c r="B24" s="342" t="s">
        <v>130</v>
      </c>
      <c r="C24" s="343"/>
      <c r="D24" s="144">
        <f>D23/D22</f>
        <v>1</v>
      </c>
      <c r="E24" s="159" t="s">
        <v>17</v>
      </c>
      <c r="F24" s="144">
        <f>F23/F22</f>
        <v>1</v>
      </c>
      <c r="G24" s="144">
        <f t="shared" ref="G24:H24" si="43">G23/G22</f>
        <v>1</v>
      </c>
      <c r="H24" s="144">
        <f t="shared" si="43"/>
        <v>1</v>
      </c>
      <c r="I24" s="144">
        <v>0</v>
      </c>
      <c r="J24" s="144">
        <f t="shared" ref="J24" si="44">J23/J22</f>
        <v>1</v>
      </c>
      <c r="K24" s="144">
        <f t="shared" ref="K24" si="45">K23/K22</f>
        <v>1</v>
      </c>
      <c r="L24" s="144">
        <f t="shared" ref="L24" si="46">L23/L22</f>
        <v>1</v>
      </c>
      <c r="M24" s="104"/>
      <c r="N24" t="s">
        <v>160</v>
      </c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9"/>
      <c r="AI24" s="99"/>
      <c r="AJ24" s="99"/>
      <c r="AK24" s="99"/>
      <c r="AL24" s="99"/>
      <c r="AM24" s="99"/>
      <c r="AN24" s="99"/>
    </row>
    <row r="25" spans="2:48" ht="48.75" customHeight="1">
      <c r="B25" s="334" t="s">
        <v>173</v>
      </c>
      <c r="C25" s="335"/>
      <c r="D25" s="335"/>
      <c r="E25" s="335"/>
      <c r="F25" s="335"/>
      <c r="G25" s="335"/>
      <c r="H25" s="335"/>
      <c r="I25" s="335"/>
      <c r="J25" s="335"/>
      <c r="K25" s="335"/>
      <c r="L25" s="335"/>
      <c r="M25" s="155"/>
      <c r="N25" s="33" t="s">
        <v>152</v>
      </c>
      <c r="O25" s="33" t="s">
        <v>175</v>
      </c>
      <c r="P25" s="33" t="s">
        <v>176</v>
      </c>
      <c r="Q25" s="329" t="s">
        <v>84</v>
      </c>
      <c r="R25" s="338"/>
      <c r="S25" s="338"/>
      <c r="T25" s="338"/>
      <c r="U25" s="338"/>
      <c r="V25" s="338"/>
      <c r="W25" s="339"/>
      <c r="X25" s="340" t="s">
        <v>100</v>
      </c>
      <c r="Y25" s="340"/>
      <c r="Z25" s="340"/>
      <c r="AA25" s="340"/>
      <c r="AB25" s="340"/>
      <c r="AC25" s="340"/>
      <c r="AD25" s="340"/>
      <c r="AE25" s="340"/>
      <c r="AH25" s="98"/>
      <c r="AI25" s="98"/>
      <c r="AJ25" s="98"/>
      <c r="AK25" s="98"/>
      <c r="AL25" s="98"/>
      <c r="AM25" s="98"/>
      <c r="AN25" s="98"/>
    </row>
    <row r="26" spans="2:48" ht="31.2">
      <c r="B26" s="356" t="s">
        <v>162</v>
      </c>
      <c r="C26" s="357"/>
      <c r="D26" s="135">
        <v>13464</v>
      </c>
      <c r="E26" s="135">
        <v>0</v>
      </c>
      <c r="F26" s="135">
        <v>3.0293999999999999</v>
      </c>
      <c r="G26" s="135">
        <v>2.706264</v>
      </c>
      <c r="H26" s="135">
        <v>1262.1153599999998</v>
      </c>
      <c r="I26" s="135">
        <v>3.6352800000000003E-3</v>
      </c>
      <c r="J26" s="135">
        <v>12.117599999999999</v>
      </c>
      <c r="K26" s="135">
        <v>2.1273119999999999</v>
      </c>
      <c r="L26" s="135">
        <v>27.084488153777379</v>
      </c>
      <c r="M26" s="155"/>
      <c r="N26" s="105"/>
      <c r="O26" s="105"/>
      <c r="P26" s="105"/>
      <c r="Q26" s="139" t="s">
        <v>12</v>
      </c>
      <c r="R26" s="139" t="s">
        <v>13</v>
      </c>
      <c r="S26" s="108" t="s">
        <v>18</v>
      </c>
      <c r="T26" s="139" t="s">
        <v>14</v>
      </c>
      <c r="U26" s="139" t="s">
        <v>22</v>
      </c>
      <c r="V26" s="139" t="s">
        <v>19</v>
      </c>
      <c r="W26" s="139" t="s">
        <v>15</v>
      </c>
      <c r="X26" s="160" t="s">
        <v>103</v>
      </c>
      <c r="Y26" s="139" t="s">
        <v>12</v>
      </c>
      <c r="Z26" s="139" t="s">
        <v>13</v>
      </c>
      <c r="AA26" s="108" t="s">
        <v>18</v>
      </c>
      <c r="AB26" s="139" t="s">
        <v>14</v>
      </c>
      <c r="AC26" s="139" t="s">
        <v>22</v>
      </c>
      <c r="AD26" s="139" t="s">
        <v>19</v>
      </c>
      <c r="AE26" s="139" t="s">
        <v>15</v>
      </c>
      <c r="AH26" s="98"/>
      <c r="AI26" s="98"/>
      <c r="AJ26" s="98"/>
      <c r="AK26" s="98"/>
      <c r="AL26" s="98"/>
      <c r="AM26" s="98"/>
      <c r="AN26" s="109"/>
    </row>
    <row r="27" spans="2:48" ht="18.75" customHeight="1">
      <c r="B27" s="356" t="s">
        <v>163</v>
      </c>
      <c r="C27" s="357"/>
      <c r="D27" s="135">
        <v>0</v>
      </c>
      <c r="E27" s="135">
        <v>4330.3247999999994</v>
      </c>
      <c r="F27" s="135">
        <v>0.61600499999999991</v>
      </c>
      <c r="G27" s="135">
        <v>0.55029779999999995</v>
      </c>
      <c r="H27" s="135">
        <v>1549.7715096000002</v>
      </c>
      <c r="I27" s="135">
        <v>7.3920599999999996E-4</v>
      </c>
      <c r="J27" s="135">
        <v>2.4640199999999997</v>
      </c>
      <c r="K27" s="135">
        <v>0.43257239999999991</v>
      </c>
      <c r="L27" s="135">
        <v>5.5074206526598113</v>
      </c>
      <c r="M27" s="104"/>
      <c r="N27" s="174" t="s">
        <v>118</v>
      </c>
      <c r="O27" s="110">
        <v>84</v>
      </c>
      <c r="P27" s="110">
        <f>N50*O27</f>
        <v>7539.84</v>
      </c>
      <c r="Q27" s="110">
        <f>$P$27*'Wskażniki emisji'!B11/1000000</f>
        <v>1.696464</v>
      </c>
      <c r="R27" s="110">
        <f>$P$27*'Wskażniki emisji'!C11/1000000</f>
        <v>1.5155078400000002</v>
      </c>
      <c r="S27" s="110">
        <f>$P$27*'Wskażniki emisji'!D11/1000000</f>
        <v>706.78460159999997</v>
      </c>
      <c r="T27" s="110">
        <f>$P$27*'Wskażniki emisji'!E11/1000000</f>
        <v>2.0357567999999999E-3</v>
      </c>
      <c r="U27" s="110">
        <f>$P$27*'Wskażniki emisji'!F11/1000000</f>
        <v>6.7858559999999999</v>
      </c>
      <c r="V27" s="110">
        <f>$P$27*'Wskażniki emisji'!G11/1000000</f>
        <v>1.1912947199999999</v>
      </c>
      <c r="W27" s="110">
        <f>$P$27*'Wskażniki emisji'!H11/1000000</f>
        <v>34.683264000000001</v>
      </c>
      <c r="X27" s="110">
        <f t="shared" ref="X27:X29" si="47">(1-AN27)*P27</f>
        <v>4919.7456000000002</v>
      </c>
      <c r="Y27" s="110">
        <f>$X$27*'Wskażniki emisji'!B12/1000000</f>
        <v>0.38374015680000001</v>
      </c>
      <c r="Z27" s="110">
        <f>$X$27*'Wskażniki emisji'!C12/1000000</f>
        <v>0.34438219200000003</v>
      </c>
      <c r="AA27" s="110">
        <f>$X$27*'Wskażniki emisji'!D12/1000000</f>
        <v>461.17695254400002</v>
      </c>
      <c r="AB27" s="110">
        <f>$X$27*'Wskażniki emisji'!E12/1000000</f>
        <v>3.8865990240000005E-5</v>
      </c>
      <c r="AC27" s="110">
        <f>$X$27*'Wskażniki emisji'!F12/1000000</f>
        <v>2.2138855199999998</v>
      </c>
      <c r="AD27" s="110">
        <f>$X$27*'Wskażniki emisji'!G12/1000000</f>
        <v>0.81175802399999997</v>
      </c>
      <c r="AE27" s="110">
        <f>$X$27*'Wskażniki emisji'!H12/1000000</f>
        <v>1.2145867937279999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24">
        <v>0.13</v>
      </c>
      <c r="AM27" s="111">
        <v>0.25</v>
      </c>
      <c r="AN27" s="111">
        <f t="shared" ref="AN27:AN29" si="48">100%-(100%-AG27)*(100%-AH27)*(100%-AI27)*(100%-AJ27)*(100%-AK27)*(100%-AL27)*(100%-AM27)</f>
        <v>0.34750000000000003</v>
      </c>
    </row>
    <row r="28" spans="2:48" ht="22.5" customHeight="1">
      <c r="B28" s="327" t="s">
        <v>131</v>
      </c>
      <c r="C28" s="328"/>
      <c r="D28" s="142">
        <f>P41-X41</f>
        <v>4219.6176000000005</v>
      </c>
      <c r="E28" s="142">
        <f>X28+P37+P38+P39</f>
        <v>0</v>
      </c>
      <c r="F28" s="142">
        <f t="shared" ref="F28:L28" si="49">Q41-Y41</f>
        <v>2.2001728847999997</v>
      </c>
      <c r="G28" s="142">
        <f t="shared" si="49"/>
        <v>1.9637881296000002</v>
      </c>
      <c r="H28" s="142">
        <f t="shared" si="49"/>
        <v>484.65579888000013</v>
      </c>
      <c r="I28" s="142">
        <f t="shared" si="49"/>
        <v>3.06323960976E-3</v>
      </c>
      <c r="J28" s="142">
        <f t="shared" si="49"/>
        <v>8.1252915215999995</v>
      </c>
      <c r="K28" s="142">
        <f t="shared" si="49"/>
        <v>0.88605237599999997</v>
      </c>
      <c r="L28" s="142">
        <f t="shared" si="49"/>
        <v>51.575003369472007</v>
      </c>
      <c r="M28" s="104"/>
      <c r="N28" s="112" t="s">
        <v>124</v>
      </c>
      <c r="O28" s="110">
        <v>0</v>
      </c>
      <c r="P28" s="110">
        <f>N50*O28</f>
        <v>0</v>
      </c>
      <c r="Q28" s="110">
        <f>$P$28*'Wskażniki emisji'!B11/1000000</f>
        <v>0</v>
      </c>
      <c r="R28" s="110">
        <f>$P$28*'Wskażniki emisji'!C11/1000000</f>
        <v>0</v>
      </c>
      <c r="S28" s="110">
        <f>$P$28*'Wskażniki emisji'!D11/1000000</f>
        <v>0</v>
      </c>
      <c r="T28" s="110">
        <f>$P$28*'Wskażniki emisji'!E11/1000000</f>
        <v>0</v>
      </c>
      <c r="U28" s="110">
        <f>$P$28*'Wskażniki emisji'!F11/1000000</f>
        <v>0</v>
      </c>
      <c r="V28" s="110">
        <f>$P$28*'Wskażniki emisji'!G11/1000000</f>
        <v>0</v>
      </c>
      <c r="W28" s="110">
        <f>$P$28*'Wskażniki emisji'!H11/1000000</f>
        <v>0</v>
      </c>
      <c r="X28" s="110">
        <f t="shared" si="47"/>
        <v>0</v>
      </c>
      <c r="Y28" s="110">
        <f>$X$28*'Wskażniki emisji'!B15/1000000</f>
        <v>0</v>
      </c>
      <c r="Z28" s="110">
        <f>$X$28*'Wskażniki emisji'!C15/1000000</f>
        <v>0</v>
      </c>
      <c r="AA28" s="110">
        <f>$X$28*'Wskażniki emisji'!D15/1000000</f>
        <v>0</v>
      </c>
      <c r="AB28" s="110">
        <f>$X$28*'Wskażniki emisji'!E15/1000000</f>
        <v>0</v>
      </c>
      <c r="AC28" s="110">
        <f>$X$28*'Wskażniki emisji'!F15/1000000</f>
        <v>0</v>
      </c>
      <c r="AD28" s="110">
        <f>$X$28*'Wskażniki emisji'!G15/1000000</f>
        <v>0</v>
      </c>
      <c r="AE28" s="110">
        <f>$X$28*'Wskażniki emisji'!H15/1000000</f>
        <v>0</v>
      </c>
      <c r="AG28" s="111">
        <v>0</v>
      </c>
      <c r="AH28" s="111">
        <v>0</v>
      </c>
      <c r="AI28" s="111">
        <v>0</v>
      </c>
      <c r="AJ28" s="111">
        <v>0</v>
      </c>
      <c r="AK28" s="111">
        <v>0</v>
      </c>
      <c r="AL28" s="111">
        <v>0</v>
      </c>
      <c r="AM28" s="111">
        <v>0.25</v>
      </c>
      <c r="AN28" s="111">
        <f t="shared" si="48"/>
        <v>0.25</v>
      </c>
    </row>
    <row r="29" spans="2:48">
      <c r="B29" s="358" t="s">
        <v>117</v>
      </c>
      <c r="C29" s="345"/>
      <c r="D29" s="175">
        <f t="shared" ref="D29:L29" si="50">D28/D26</f>
        <v>0.31340000000000001</v>
      </c>
      <c r="E29" s="175">
        <v>0</v>
      </c>
      <c r="F29" s="175">
        <f t="shared" si="50"/>
        <v>0.72627348148148141</v>
      </c>
      <c r="G29" s="175">
        <f t="shared" si="50"/>
        <v>0.72564543946932014</v>
      </c>
      <c r="H29" s="175">
        <f t="shared" si="50"/>
        <v>0.38400277362918728</v>
      </c>
      <c r="I29" s="175">
        <f t="shared" si="50"/>
        <v>0.84264199999999989</v>
      </c>
      <c r="J29" s="175">
        <f t="shared" si="50"/>
        <v>0.67053637037037039</v>
      </c>
      <c r="K29" s="175">
        <f t="shared" si="50"/>
        <v>0.41651265822784811</v>
      </c>
      <c r="L29" s="175">
        <f t="shared" si="50"/>
        <v>1.9042266214020744</v>
      </c>
      <c r="M29" s="104"/>
      <c r="N29" s="140" t="s">
        <v>136</v>
      </c>
      <c r="O29" s="110">
        <v>44</v>
      </c>
      <c r="P29" s="110">
        <f>N50*O29</f>
        <v>3949.44</v>
      </c>
      <c r="Q29" s="110">
        <f>$P$29*'Wskażniki emisji'!B11/1000000</f>
        <v>0.88862399999999997</v>
      </c>
      <c r="R29" s="110">
        <f>$P$29*'Wskażniki emisji'!C11/1000000</f>
        <v>0.79383744000000001</v>
      </c>
      <c r="S29" s="110">
        <f>$P$29*'Wskażniki emisji'!D11/1000000</f>
        <v>370.22050560000002</v>
      </c>
      <c r="T29" s="110">
        <f>$P$29*'Wskażniki emisji'!E11/1000000</f>
        <v>1.0663488E-3</v>
      </c>
      <c r="U29" s="110">
        <f>$P$29*'Wskażniki emisji'!F11/1000000</f>
        <v>3.5544959999999999</v>
      </c>
      <c r="V29" s="110">
        <f>$P$29*'Wskażniki emisji'!G11/1000000</f>
        <v>0.62401152000000004</v>
      </c>
      <c r="W29" s="110">
        <f>$P$29*'Wskażniki emisji'!H11/1000000</f>
        <v>18.167424</v>
      </c>
      <c r="X29" s="110">
        <f t="shared" si="47"/>
        <v>2349.9168</v>
      </c>
      <c r="Y29" s="110">
        <f>$X$29*'Wskażniki emisji'!B5/1000000</f>
        <v>1.1749584E-3</v>
      </c>
      <c r="Z29" s="110">
        <f>$X$29*'Wskażniki emisji'!C5/1000000</f>
        <v>1.1749584E-3</v>
      </c>
      <c r="AA29" s="110">
        <f>$X$29*'Wskażniki emisji'!D5/1000000</f>
        <v>131.17235577599999</v>
      </c>
      <c r="AB29" s="110">
        <f>$X$29*'Wskażniki emisji'!E5/1000000</f>
        <v>0</v>
      </c>
      <c r="AC29" s="110">
        <f>$X$29*'Wskażniki emisji'!F5/1000000</f>
        <v>1.1749584E-3</v>
      </c>
      <c r="AD29" s="110">
        <f>$X$29*'Wskażniki emisji'!G5/1000000</f>
        <v>0.11749583999999999</v>
      </c>
      <c r="AE29" s="110">
        <f>$X$29*'Wskażniki emisji'!H5/1000000</f>
        <v>6.1097836799999999E-2</v>
      </c>
      <c r="AG29" s="111">
        <v>0</v>
      </c>
      <c r="AH29" s="111">
        <v>0</v>
      </c>
      <c r="AI29" s="111">
        <v>0</v>
      </c>
      <c r="AJ29" s="111">
        <v>0</v>
      </c>
      <c r="AK29" s="111">
        <v>0.15</v>
      </c>
      <c r="AL29" s="111">
        <v>0</v>
      </c>
      <c r="AM29" s="111">
        <v>0.3</v>
      </c>
      <c r="AN29" s="111">
        <f t="shared" si="48"/>
        <v>0.40500000000000003</v>
      </c>
    </row>
    <row r="30" spans="2:48" customFormat="1">
      <c r="B30" s="359" t="s">
        <v>120</v>
      </c>
      <c r="C30" s="360"/>
      <c r="D30" s="135">
        <f t="shared" ref="D30:L30" si="51">D26+D22+D10+D27</f>
        <v>15140.23628049075</v>
      </c>
      <c r="E30" s="135">
        <f>E26+E22+E10+E27</f>
        <v>4330.3247999999994</v>
      </c>
      <c r="F30" s="135">
        <f t="shared" si="51"/>
        <v>3.6461049288770515</v>
      </c>
      <c r="G30" s="135">
        <f t="shared" si="51"/>
        <v>3.2572617288770518</v>
      </c>
      <c r="H30" s="135">
        <f t="shared" si="51"/>
        <v>2916.3029898169475</v>
      </c>
      <c r="I30" s="135">
        <f t="shared" si="51"/>
        <v>4.3745023123488002E-3</v>
      </c>
      <c r="J30" s="135">
        <f t="shared" si="51"/>
        <v>14.582394075917051</v>
      </c>
      <c r="K30" s="135">
        <f t="shared" si="51"/>
        <v>2.6513206116731998</v>
      </c>
      <c r="L30" s="135">
        <f t="shared" si="51"/>
        <v>32.852950587752972</v>
      </c>
      <c r="M30" s="25"/>
      <c r="AO30" s="15"/>
      <c r="AP30" s="15"/>
      <c r="AQ30" s="15"/>
      <c r="AR30" s="15"/>
      <c r="AS30" s="15"/>
      <c r="AT30" s="15"/>
      <c r="AU30" s="15"/>
      <c r="AV30" s="15"/>
    </row>
    <row r="31" spans="2:48" customFormat="1" ht="27" customHeight="1">
      <c r="B31" s="327" t="s">
        <v>131</v>
      </c>
      <c r="C31" s="355"/>
      <c r="D31" s="142">
        <f t="shared" ref="D31:L31" si="52">D19+D23+D28</f>
        <v>5814.4862212470725</v>
      </c>
      <c r="E31" s="142">
        <f t="shared" si="52"/>
        <v>35.568000000000005</v>
      </c>
      <c r="F31" s="142">
        <f t="shared" si="52"/>
        <v>2.2008712498080705</v>
      </c>
      <c r="G31" s="142">
        <f t="shared" si="52"/>
        <v>1.9644864946080711</v>
      </c>
      <c r="H31" s="142">
        <f t="shared" si="52"/>
        <v>674.39001452515777</v>
      </c>
      <c r="I31" s="142">
        <f t="shared" si="52"/>
        <v>3.0632559221087999E-3</v>
      </c>
      <c r="J31" s="142">
        <f t="shared" si="52"/>
        <v>8.1260640336480705</v>
      </c>
      <c r="K31" s="142">
        <f t="shared" si="52"/>
        <v>0.97733220077508998</v>
      </c>
      <c r="L31" s="142">
        <f t="shared" si="52"/>
        <v>51.836021692753071</v>
      </c>
      <c r="M31" s="25"/>
      <c r="AO31" s="15"/>
      <c r="AP31" s="15"/>
      <c r="AQ31" s="15"/>
      <c r="AR31" s="15"/>
      <c r="AS31" s="15"/>
      <c r="AT31" s="15"/>
      <c r="AU31" s="15"/>
      <c r="AV31" s="15"/>
    </row>
    <row r="32" spans="2:48" customFormat="1">
      <c r="B32" s="344" t="s">
        <v>159</v>
      </c>
      <c r="C32" s="345"/>
      <c r="D32" s="176">
        <f t="shared" ref="D32:L32" si="53">D31/D30</f>
        <v>0.38404197355489383</v>
      </c>
      <c r="E32" s="146">
        <f t="shared" si="53"/>
        <v>8.2137025841571999E-3</v>
      </c>
      <c r="F32" s="146">
        <f t="shared" si="53"/>
        <v>0.60362257607487657</v>
      </c>
      <c r="G32" s="146">
        <f t="shared" si="53"/>
        <v>0.60310980760067201</v>
      </c>
      <c r="H32" s="146">
        <f t="shared" si="53"/>
        <v>0.2312482677142845</v>
      </c>
      <c r="I32" s="146">
        <f t="shared" si="53"/>
        <v>0.70025244093745764</v>
      </c>
      <c r="J32" s="146">
        <f t="shared" si="53"/>
        <v>0.55725170992795581</v>
      </c>
      <c r="K32" s="146">
        <f t="shared" si="53"/>
        <v>0.36862090404008646</v>
      </c>
      <c r="L32" s="146">
        <f t="shared" si="53"/>
        <v>1.5778193667656952</v>
      </c>
      <c r="M32" s="25"/>
      <c r="AO32" s="15"/>
      <c r="AP32" s="15"/>
      <c r="AQ32" s="15"/>
      <c r="AR32" s="15"/>
      <c r="AS32" s="15"/>
      <c r="AT32" s="15"/>
      <c r="AU32" s="15"/>
      <c r="AV32" s="15"/>
    </row>
    <row r="33" spans="2:48" customFormat="1" ht="28.8" hidden="1">
      <c r="M33" s="25"/>
      <c r="N33" s="167" t="s">
        <v>141</v>
      </c>
      <c r="O33" s="29">
        <v>0</v>
      </c>
      <c r="P33" s="29">
        <f>N50*O33</f>
        <v>0</v>
      </c>
      <c r="Q33" s="29">
        <f>$P$33*'Wskażniki emisji'!B$11/1000000</f>
        <v>0</v>
      </c>
      <c r="R33" s="29">
        <f>$P$33*'Wskażniki emisji'!C$11/1000000</f>
        <v>0</v>
      </c>
      <c r="S33" s="29">
        <f>$P$33*'Wskażniki emisji'!D$11/1000000</f>
        <v>0</v>
      </c>
      <c r="T33" s="29">
        <f>$P$33*'Wskażniki emisji'!E$11/1000000</f>
        <v>0</v>
      </c>
      <c r="U33" s="29">
        <f>$P$33*'Wskażniki emisji'!F$11/1000000</f>
        <v>0</v>
      </c>
      <c r="V33" s="29">
        <f>$P$33*'Wskażniki emisji'!G$11/1000000</f>
        <v>0</v>
      </c>
      <c r="W33" s="29">
        <f>$P$33*'Wskażniki emisji'!H$11/1000000</f>
        <v>0</v>
      </c>
      <c r="X33" s="29">
        <f>(1-AN33)*P33</f>
        <v>0</v>
      </c>
      <c r="Y33" s="29">
        <f>$X$33*'Wskażniki emisji'!B$11/1000000</f>
        <v>0</v>
      </c>
      <c r="Z33" s="29">
        <f>$X$33*'Wskażniki emisji'!C$11/1000000</f>
        <v>0</v>
      </c>
      <c r="AA33" s="29">
        <f>$X$33*'Wskażniki emisji'!D$11/1000000</f>
        <v>0</v>
      </c>
      <c r="AB33" s="29">
        <f>$X$33*'Wskażniki emisji'!E$11/1000000</f>
        <v>0</v>
      </c>
      <c r="AC33" s="29">
        <f>$X$33*'Wskażniki emisji'!F$11/1000000</f>
        <v>0</v>
      </c>
      <c r="AD33" s="29">
        <f>$X$33*'Wskażniki emisji'!G$11/1000000</f>
        <v>0</v>
      </c>
      <c r="AE33" s="29">
        <f>$X$33*'Wskażniki emisji'!H$11/1000000</f>
        <v>0</v>
      </c>
      <c r="AG33" s="24"/>
      <c r="AH33" s="24"/>
      <c r="AI33" s="24"/>
      <c r="AJ33" s="24"/>
      <c r="AK33" s="24"/>
      <c r="AL33" s="24"/>
      <c r="AM33" s="24"/>
      <c r="AN33" s="24">
        <f>100%-(100%-AG33)*(100%-AH33)*(100%-AI33)*(100%-AJ33)*(100%-AK33)*(100%-AL33)*(100%-AM33)</f>
        <v>0</v>
      </c>
      <c r="AO33" s="15"/>
      <c r="AP33" s="15"/>
      <c r="AQ33" s="15"/>
      <c r="AR33" s="15"/>
      <c r="AS33" s="15"/>
      <c r="AT33" s="15"/>
      <c r="AU33" s="15"/>
      <c r="AV33" s="15"/>
    </row>
    <row r="34" spans="2:48" customFormat="1" ht="19.2" hidden="1">
      <c r="M34" s="25"/>
      <c r="N34" s="167" t="s">
        <v>142</v>
      </c>
      <c r="O34" s="29">
        <v>0</v>
      </c>
      <c r="P34" s="29">
        <f>N50*O34</f>
        <v>0</v>
      </c>
      <c r="Q34" s="29">
        <f>$P$34*'Wskażniki emisji'!B$11/1000000</f>
        <v>0</v>
      </c>
      <c r="R34" s="29">
        <f>$P$34*'Wskażniki emisji'!C$11/1000000</f>
        <v>0</v>
      </c>
      <c r="S34" s="29">
        <f>$P$34*'Wskażniki emisji'!D$11/1000000</f>
        <v>0</v>
      </c>
      <c r="T34" s="29">
        <f>$P$34*'Wskażniki emisji'!E$11/1000000</f>
        <v>0</v>
      </c>
      <c r="U34" s="29">
        <f>$P$34*'Wskażniki emisji'!F$11/1000000</f>
        <v>0</v>
      </c>
      <c r="V34" s="29">
        <f>$P$34*'Wskażniki emisji'!G$11/1000000</f>
        <v>0</v>
      </c>
      <c r="W34" s="29">
        <f>$P$34*'Wskażniki emisji'!H$11/1000000</f>
        <v>0</v>
      </c>
      <c r="X34" s="29">
        <f>(1-AN34)*P34</f>
        <v>0</v>
      </c>
      <c r="Y34" s="29">
        <f>$X$34*'Wskażniki emisji'!B$11/1000000</f>
        <v>0</v>
      </c>
      <c r="Z34" s="29">
        <f>$X$34*'Wskażniki emisji'!C$11/1000000</f>
        <v>0</v>
      </c>
      <c r="AA34" s="29">
        <f>$X$34*'Wskażniki emisji'!D$11/1000000</f>
        <v>0</v>
      </c>
      <c r="AB34" s="29">
        <f>$X$34*'Wskażniki emisji'!E$11/1000000</f>
        <v>0</v>
      </c>
      <c r="AC34" s="29">
        <f>$X$34*'Wskażniki emisji'!F$11/1000000</f>
        <v>0</v>
      </c>
      <c r="AD34" s="29">
        <f>$X$34*'Wskażniki emisji'!G$11/1000000</f>
        <v>0</v>
      </c>
      <c r="AE34" s="29">
        <f>$X$34*'Wskażniki emisji'!H$11/1000000</f>
        <v>0</v>
      </c>
      <c r="AG34" s="24"/>
      <c r="AH34" s="24"/>
      <c r="AI34" s="24"/>
      <c r="AJ34" s="24"/>
      <c r="AK34" s="24"/>
      <c r="AL34" s="24"/>
      <c r="AM34" s="24"/>
      <c r="AN34" s="24">
        <f>100%-(100%-AG34)*(100%-AH34)*(100%-AI34)*(100%-AJ34)*(100%-AK34)*(100%-AL34)*(100%-AM34)</f>
        <v>0</v>
      </c>
      <c r="AO34" s="15"/>
      <c r="AP34" s="15"/>
      <c r="AQ34" s="15"/>
      <c r="AR34" s="15"/>
      <c r="AS34" s="15"/>
      <c r="AT34" s="15"/>
      <c r="AU34" s="15"/>
      <c r="AV34" s="15"/>
    </row>
    <row r="35" spans="2:48" customFormat="1" ht="19.2" hidden="1">
      <c r="M35" s="25"/>
      <c r="N35" s="167" t="s">
        <v>143</v>
      </c>
      <c r="O35" s="29">
        <v>0</v>
      </c>
      <c r="P35" s="29">
        <f>N50*O35</f>
        <v>0</v>
      </c>
      <c r="Q35" s="29">
        <f>$P$35*'Wskażniki emisji'!B$11/1000000</f>
        <v>0</v>
      </c>
      <c r="R35" s="29">
        <f>$P$35*'Wskażniki emisji'!C$11/1000000</f>
        <v>0</v>
      </c>
      <c r="S35" s="29">
        <f>$P$35*'Wskażniki emisji'!D$11/1000000</f>
        <v>0</v>
      </c>
      <c r="T35" s="29">
        <f>$P$35*'Wskażniki emisji'!E$11/1000000</f>
        <v>0</v>
      </c>
      <c r="U35" s="29">
        <f>$P$35*'Wskażniki emisji'!F$11/1000000</f>
        <v>0</v>
      </c>
      <c r="V35" s="29">
        <f>$P$35*'Wskażniki emisji'!G$11/1000000</f>
        <v>0</v>
      </c>
      <c r="W35" s="29">
        <f>$P$35*'Wskażniki emisji'!H$11/1000000</f>
        <v>0</v>
      </c>
      <c r="X35" s="29">
        <f>(1-AN35)*P35</f>
        <v>0</v>
      </c>
      <c r="Y35" s="29">
        <f>$X$35*'Wskażniki emisji'!B$11/1000000</f>
        <v>0</v>
      </c>
      <c r="Z35" s="29">
        <f>$X$35*'Wskażniki emisji'!C$11/1000000</f>
        <v>0</v>
      </c>
      <c r="AA35" s="29">
        <f>$X$35*'Wskażniki emisji'!D$11/1000000</f>
        <v>0</v>
      </c>
      <c r="AB35" s="29">
        <f>$X$35*'Wskażniki emisji'!E$11/1000000</f>
        <v>0</v>
      </c>
      <c r="AC35" s="29">
        <f>$X$35*'Wskażniki emisji'!F$11/1000000</f>
        <v>0</v>
      </c>
      <c r="AD35" s="29">
        <f>$X$35*'Wskażniki emisji'!G$11/1000000</f>
        <v>0</v>
      </c>
      <c r="AE35" s="29">
        <f>$X$35*'Wskażniki emisji'!H$11/1000000</f>
        <v>0</v>
      </c>
      <c r="AG35" s="24"/>
      <c r="AH35" s="24"/>
      <c r="AI35" s="24"/>
      <c r="AJ35" s="24"/>
      <c r="AK35" s="24"/>
      <c r="AL35" s="24"/>
      <c r="AM35" s="24"/>
      <c r="AN35" s="24">
        <f>100%-(100%-AG35)*(100%-AH35)*(100%-AI35)*(100%-AJ35)*(100%-AK35)*(100%-AL35)*(100%-AM35)</f>
        <v>0</v>
      </c>
      <c r="AO35" s="15"/>
      <c r="AP35" s="15"/>
      <c r="AQ35" s="15"/>
      <c r="AR35" s="15"/>
      <c r="AS35" s="15"/>
      <c r="AT35" s="15"/>
      <c r="AU35" s="15"/>
      <c r="AV35" s="15"/>
    </row>
    <row r="36" spans="2:48" customFormat="1" ht="9.75" hidden="1" customHeight="1">
      <c r="M36" s="25"/>
      <c r="N36" s="140" t="s">
        <v>135</v>
      </c>
      <c r="O36" s="110">
        <v>0</v>
      </c>
      <c r="P36" s="110">
        <f>N50*O36</f>
        <v>0</v>
      </c>
      <c r="Q36" s="110">
        <f>$P$36*'Wskażniki emisji'!B11/1000000</f>
        <v>0</v>
      </c>
      <c r="R36" s="110">
        <f>$P$36*'Wskażniki emisji'!C11/1000000</f>
        <v>0</v>
      </c>
      <c r="S36" s="110">
        <f>$P$36*'Wskażniki emisji'!D11/1000000</f>
        <v>0</v>
      </c>
      <c r="T36" s="110">
        <f>$P$36*'Wskażniki emisji'!E11/1000000</f>
        <v>0</v>
      </c>
      <c r="U36" s="110">
        <f>$P$36*'Wskażniki emisji'!F11/1000000</f>
        <v>0</v>
      </c>
      <c r="V36" s="110">
        <f>$P$36*'Wskażniki emisji'!G11/1000000</f>
        <v>0</v>
      </c>
      <c r="W36" s="110">
        <f>$P$36*'Wskażniki emisji'!H11/1000000</f>
        <v>0</v>
      </c>
      <c r="X36" s="110">
        <f>(1-AN36)*P36</f>
        <v>0</v>
      </c>
      <c r="Y36" s="110">
        <f>$X$36*'Wskażniki emisji'!B6/1000000</f>
        <v>0</v>
      </c>
      <c r="Z36" s="110">
        <f>$X$36*'Wskażniki emisji'!C6/1000000</f>
        <v>0</v>
      </c>
      <c r="AA36" s="110">
        <f>$X$36*'Wskażniki emisji'!D6/1000000</f>
        <v>0</v>
      </c>
      <c r="AB36" s="110">
        <f>$X$36*'Wskażniki emisji'!E6/1000000</f>
        <v>0</v>
      </c>
      <c r="AC36" s="110">
        <f>$X$36*'Wskażniki emisji'!F6/1000000</f>
        <v>0</v>
      </c>
      <c r="AD36" s="110">
        <f>$X$36*'Wskażniki emisji'!G6/1000000</f>
        <v>0</v>
      </c>
      <c r="AE36" s="110">
        <f>$X$36*'Wskażniki emisji'!H6/1000000</f>
        <v>0</v>
      </c>
      <c r="AF36" s="98"/>
      <c r="AG36" s="111">
        <v>0</v>
      </c>
      <c r="AH36" s="111">
        <v>0</v>
      </c>
      <c r="AI36" s="111">
        <v>0</v>
      </c>
      <c r="AJ36" s="111">
        <v>0</v>
      </c>
      <c r="AK36" s="111">
        <v>0</v>
      </c>
      <c r="AL36" s="111">
        <v>0</v>
      </c>
      <c r="AM36" s="111">
        <v>0.3</v>
      </c>
      <c r="AN36" s="111">
        <f>100%-(100%-AG36)*(100%-AH36)*(100%-AI36)*(100%-AJ36)*(100%-AK36)*(100%-AL36)*(100%-AM36)</f>
        <v>0.30000000000000004</v>
      </c>
      <c r="AO36" s="15"/>
      <c r="AP36" s="15"/>
      <c r="AQ36" s="15"/>
      <c r="AR36" s="15"/>
      <c r="AS36" s="15"/>
      <c r="AT36" s="15"/>
      <c r="AU36" s="15"/>
      <c r="AV36" s="15"/>
    </row>
    <row r="37" spans="2:48" customFormat="1" hidden="1">
      <c r="M37" s="25"/>
      <c r="N37" s="140" t="s">
        <v>1</v>
      </c>
      <c r="O37" s="29"/>
      <c r="P37" s="29">
        <f>O37*525*3.6/1000</f>
        <v>0</v>
      </c>
      <c r="Q37" s="29">
        <f>$P$37*'Wskażniki emisji'!B11/1000000</f>
        <v>0</v>
      </c>
      <c r="R37" s="29">
        <f>$P$37*'Wskażniki emisji'!C11/1000000</f>
        <v>0</v>
      </c>
      <c r="S37" s="29">
        <f>$P$37*'Wskażniki emisji'!D11/1000000</f>
        <v>0</v>
      </c>
      <c r="T37" s="29">
        <f>$P$37*'Wskażniki emisji'!E11/1000000</f>
        <v>0</v>
      </c>
      <c r="U37" s="29">
        <f>$P$37*'Wskażniki emisji'!F11/1000000</f>
        <v>0</v>
      </c>
      <c r="V37" s="29">
        <f>$P$37*'Wskażniki emisji'!G11/1000000</f>
        <v>0</v>
      </c>
      <c r="W37" s="29">
        <f>$P$37*'Wskażniki emisji'!H11/1000000</f>
        <v>0</v>
      </c>
      <c r="X37" s="29">
        <f t="shared" ref="X37" si="54">(1-AN37)*P37</f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G37" s="24">
        <v>0</v>
      </c>
      <c r="AH37" s="24">
        <v>0</v>
      </c>
      <c r="AI37" s="24">
        <v>0</v>
      </c>
      <c r="AJ37" s="24">
        <v>0</v>
      </c>
      <c r="AK37" s="24">
        <v>0</v>
      </c>
      <c r="AL37" s="24">
        <v>0</v>
      </c>
      <c r="AM37" s="24">
        <v>0</v>
      </c>
      <c r="AN37" s="24">
        <v>1</v>
      </c>
      <c r="AO37" s="15"/>
      <c r="AP37" s="15"/>
      <c r="AQ37" s="15"/>
      <c r="AR37" s="15"/>
      <c r="AS37" s="15"/>
      <c r="AT37" s="15"/>
      <c r="AU37" s="15"/>
      <c r="AV37" s="15"/>
    </row>
    <row r="38" spans="2:48" customFormat="1" hidden="1">
      <c r="M38" s="25"/>
      <c r="N38" s="140" t="s">
        <v>52</v>
      </c>
      <c r="O38" s="29"/>
      <c r="P38" s="29">
        <f>O38*1.25*3.6</f>
        <v>0</v>
      </c>
      <c r="Q38" s="29">
        <f>$P$38*'Wskażniki emisji'!B11/1000000</f>
        <v>0</v>
      </c>
      <c r="R38" s="29">
        <f>$P$38*'Wskażniki emisji'!C11/1000000</f>
        <v>0</v>
      </c>
      <c r="S38" s="29">
        <f>$P$38*'Wskażniki emisji'!D11/1000000</f>
        <v>0</v>
      </c>
      <c r="T38" s="29">
        <f>$P$38*'Wskażniki emisji'!E11/1000000</f>
        <v>0</v>
      </c>
      <c r="U38" s="29">
        <f>$P$38*'Wskażniki emisji'!F11/1000000</f>
        <v>0</v>
      </c>
      <c r="V38" s="29">
        <f>$P$38*'Wskażniki emisji'!G11/1000000</f>
        <v>0</v>
      </c>
      <c r="W38" s="29">
        <f>$P$38*'Wskażniki emisji'!H11/1000000</f>
        <v>0</v>
      </c>
      <c r="X38" s="98"/>
      <c r="Y38" s="98"/>
      <c r="Z38" s="98"/>
      <c r="AA38" s="98"/>
      <c r="AB38" s="98"/>
      <c r="AC38" s="98"/>
      <c r="AD38" s="98"/>
      <c r="AE38" s="98"/>
      <c r="AF38" s="102"/>
      <c r="AG38" s="102"/>
      <c r="AH38" s="103"/>
      <c r="AI38" s="103"/>
      <c r="AJ38" s="103"/>
      <c r="AK38" s="103"/>
      <c r="AL38" s="103"/>
      <c r="AM38" s="103"/>
      <c r="AN38" s="103"/>
      <c r="AO38" s="15"/>
      <c r="AP38" s="15"/>
      <c r="AQ38" s="15"/>
      <c r="AR38" s="15"/>
      <c r="AS38" s="15"/>
      <c r="AT38" s="15"/>
      <c r="AU38" s="15"/>
      <c r="AV38" s="15"/>
    </row>
    <row r="39" spans="2:48" customFormat="1" hidden="1">
      <c r="M39" s="25"/>
      <c r="N39" s="140" t="s">
        <v>133</v>
      </c>
      <c r="O39" s="29"/>
      <c r="P39" s="29">
        <f>O39*1*3.6</f>
        <v>0</v>
      </c>
      <c r="Q39" s="29">
        <v>0</v>
      </c>
      <c r="R39" s="29">
        <v>0</v>
      </c>
      <c r="S39" s="29">
        <f>P39/3.6*'Wskażniki emisji'!B17</f>
        <v>0</v>
      </c>
      <c r="T39" s="29">
        <v>0</v>
      </c>
      <c r="U39" s="29">
        <v>0</v>
      </c>
      <c r="V39" s="29">
        <v>0</v>
      </c>
      <c r="W39" s="29">
        <v>0</v>
      </c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9"/>
      <c r="AI39" s="99"/>
      <c r="AJ39" s="99"/>
      <c r="AK39" s="99"/>
      <c r="AL39" s="99"/>
      <c r="AM39" s="99"/>
      <c r="AN39" s="99"/>
      <c r="AO39" s="15"/>
      <c r="AP39" s="15"/>
      <c r="AQ39" s="15"/>
      <c r="AR39" s="15"/>
      <c r="AS39" s="15"/>
      <c r="AT39" s="15"/>
      <c r="AU39" s="15"/>
      <c r="AV39" s="15"/>
    </row>
    <row r="40" spans="2:48" customFormat="1" hidden="1">
      <c r="M40" s="25"/>
      <c r="N40" s="167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G40" s="24"/>
      <c r="AH40" s="24"/>
      <c r="AI40" s="24"/>
      <c r="AJ40" s="24"/>
      <c r="AK40" s="24"/>
      <c r="AL40" s="24"/>
      <c r="AM40" s="24"/>
      <c r="AN40" s="24"/>
      <c r="AO40" s="15"/>
      <c r="AP40" s="15"/>
      <c r="AQ40" s="15"/>
      <c r="AR40" s="15"/>
      <c r="AS40" s="15"/>
      <c r="AT40" s="15"/>
      <c r="AU40" s="15"/>
      <c r="AV40" s="15"/>
    </row>
    <row r="41" spans="2:48" ht="14.4">
      <c r="B41" s="348" t="s">
        <v>104</v>
      </c>
      <c r="C41" s="349"/>
      <c r="D41" s="349"/>
      <c r="E41" s="349"/>
      <c r="F41" s="349"/>
      <c r="G41" s="349"/>
      <c r="H41" s="349"/>
      <c r="I41" s="349"/>
      <c r="J41" s="349"/>
      <c r="K41" s="349"/>
      <c r="L41" s="350"/>
      <c r="O41" s="113" t="s">
        <v>24</v>
      </c>
      <c r="P41" s="114">
        <f>SUM(P27:P36)</f>
        <v>11489.28</v>
      </c>
      <c r="Q41" s="114">
        <f>SUM(Q27:Q29)</f>
        <v>2.5850879999999998</v>
      </c>
      <c r="R41" s="114">
        <f t="shared" ref="R41:AE41" si="55">SUM(R27:R29)</f>
        <v>2.3093452800000001</v>
      </c>
      <c r="S41" s="114">
        <f t="shared" si="55"/>
        <v>1077.0051072000001</v>
      </c>
      <c r="T41" s="114">
        <f t="shared" si="55"/>
        <v>3.1021056000000002E-3</v>
      </c>
      <c r="U41" s="114">
        <f t="shared" si="55"/>
        <v>10.340351999999999</v>
      </c>
      <c r="V41" s="114">
        <f t="shared" si="55"/>
        <v>1.81530624</v>
      </c>
      <c r="W41" s="114">
        <f t="shared" si="55"/>
        <v>52.850688000000005</v>
      </c>
      <c r="X41" s="114">
        <f t="shared" si="55"/>
        <v>7269.6624000000002</v>
      </c>
      <c r="Y41" s="114">
        <f t="shared" si="55"/>
        <v>0.38491511519999999</v>
      </c>
      <c r="Z41" s="114">
        <f t="shared" si="55"/>
        <v>0.34555715040000001</v>
      </c>
      <c r="AA41" s="114">
        <f t="shared" si="55"/>
        <v>592.34930831999998</v>
      </c>
      <c r="AB41" s="114">
        <f t="shared" si="55"/>
        <v>3.8865990240000005E-5</v>
      </c>
      <c r="AC41" s="114">
        <f t="shared" si="55"/>
        <v>2.2150604783999999</v>
      </c>
      <c r="AD41" s="114">
        <f t="shared" si="55"/>
        <v>0.92925386399999998</v>
      </c>
      <c r="AE41" s="114">
        <f t="shared" si="55"/>
        <v>1.2756846305279999</v>
      </c>
      <c r="AH41" s="98"/>
      <c r="AI41" s="98"/>
      <c r="AJ41" s="98"/>
      <c r="AK41" s="98"/>
      <c r="AL41" s="98"/>
      <c r="AM41" s="98"/>
      <c r="AN41" s="98"/>
    </row>
    <row r="42" spans="2:48" ht="22.5" customHeight="1">
      <c r="B42" s="311" t="s">
        <v>105</v>
      </c>
      <c r="C42" s="312"/>
      <c r="D42" s="306" t="s">
        <v>106</v>
      </c>
      <c r="E42" s="306" t="s">
        <v>107</v>
      </c>
      <c r="F42" s="308" t="s">
        <v>108</v>
      </c>
      <c r="G42" s="309"/>
      <c r="H42" s="309"/>
      <c r="I42" s="309"/>
      <c r="J42" s="309"/>
      <c r="K42" s="309"/>
      <c r="L42" s="310"/>
      <c r="M42" s="151"/>
      <c r="AH42" s="98"/>
      <c r="AI42" s="98"/>
      <c r="AJ42" s="98"/>
      <c r="AK42" s="98"/>
      <c r="AL42" s="98"/>
      <c r="AM42" s="98"/>
      <c r="AN42" s="98"/>
    </row>
    <row r="43" spans="2:48" ht="39" customHeight="1">
      <c r="B43" s="313"/>
      <c r="C43" s="314"/>
      <c r="D43" s="307"/>
      <c r="E43" s="307"/>
      <c r="F43" s="115" t="s">
        <v>12</v>
      </c>
      <c r="G43" s="115" t="s">
        <v>13</v>
      </c>
      <c r="H43" s="166" t="s">
        <v>18</v>
      </c>
      <c r="I43" s="115" t="s">
        <v>14</v>
      </c>
      <c r="J43" s="115" t="s">
        <v>22</v>
      </c>
      <c r="K43" s="115" t="s">
        <v>19</v>
      </c>
      <c r="L43" s="115" t="s">
        <v>15</v>
      </c>
      <c r="M43" s="152"/>
      <c r="AH43" s="98"/>
      <c r="AI43" s="98"/>
      <c r="AJ43" s="98"/>
      <c r="AK43" s="98"/>
      <c r="AL43" s="98"/>
      <c r="AM43" s="98"/>
      <c r="AN43" s="98"/>
    </row>
    <row r="44" spans="2:48" ht="14.25" customHeight="1">
      <c r="B44" s="301" t="s">
        <v>109</v>
      </c>
      <c r="C44" s="302"/>
      <c r="D44" s="137">
        <v>384884.3211744834</v>
      </c>
      <c r="E44" s="137">
        <v>564</v>
      </c>
      <c r="F44" s="137">
        <v>49.55137386143727</v>
      </c>
      <c r="G44" s="137">
        <v>46.439120105535359</v>
      </c>
      <c r="H44" s="137">
        <v>31057.228443814525</v>
      </c>
      <c r="I44" s="137">
        <v>3.546078137521208E-2</v>
      </c>
      <c r="J44" s="137">
        <v>98.328027551065702</v>
      </c>
      <c r="K44" s="137">
        <v>82.011753576646697</v>
      </c>
      <c r="L44" s="137">
        <v>462.97078419400407</v>
      </c>
      <c r="M44" s="156"/>
      <c r="AH44" s="98"/>
      <c r="AI44" s="98"/>
      <c r="AJ44" s="98"/>
      <c r="AK44" s="98"/>
      <c r="AL44" s="98"/>
      <c r="AM44" s="98"/>
      <c r="AN44" s="98"/>
    </row>
    <row r="45" spans="2:48" ht="14.25" customHeight="1">
      <c r="B45" s="322" t="s">
        <v>188</v>
      </c>
      <c r="C45" s="323"/>
      <c r="D45" s="324"/>
      <c r="E45" s="185">
        <f>E44/D44</f>
        <v>1.4653753581827936E-3</v>
      </c>
      <c r="F45" s="303"/>
      <c r="G45" s="304"/>
      <c r="H45" s="304"/>
      <c r="I45" s="304"/>
      <c r="J45" s="304"/>
      <c r="K45" s="304"/>
      <c r="L45" s="305"/>
      <c r="M45" s="156"/>
      <c r="AH45" s="98"/>
      <c r="AI45" s="98"/>
      <c r="AJ45" s="98"/>
      <c r="AK45" s="98"/>
      <c r="AL45" s="98"/>
      <c r="AM45" s="98"/>
      <c r="AN45" s="98"/>
    </row>
    <row r="46" spans="2:48" ht="14.25" customHeight="1">
      <c r="B46" s="301" t="s">
        <v>121</v>
      </c>
      <c r="C46" s="302"/>
      <c r="D46" s="137">
        <f>D44-D30</f>
        <v>369744.08489399264</v>
      </c>
      <c r="E46" s="137">
        <f>E30+E44</f>
        <v>4894.3247999999994</v>
      </c>
      <c r="F46" s="137">
        <f t="shared" ref="F46:L46" si="56">F44-F30</f>
        <v>45.905268932560219</v>
      </c>
      <c r="G46" s="137">
        <f t="shared" si="56"/>
        <v>43.181858376658305</v>
      </c>
      <c r="H46" s="137">
        <f t="shared" si="56"/>
        <v>28140.925453997577</v>
      </c>
      <c r="I46" s="137">
        <f t="shared" si="56"/>
        <v>3.1086279062863278E-2</v>
      </c>
      <c r="J46" s="137">
        <f t="shared" si="56"/>
        <v>83.745633475148651</v>
      </c>
      <c r="K46" s="137">
        <f t="shared" si="56"/>
        <v>79.360432964973498</v>
      </c>
      <c r="L46" s="137">
        <f t="shared" si="56"/>
        <v>430.11783360625111</v>
      </c>
      <c r="M46" s="156"/>
      <c r="AA46" s="171"/>
    </row>
    <row r="47" spans="2:48" ht="14.25" customHeight="1">
      <c r="B47" s="322" t="s">
        <v>189</v>
      </c>
      <c r="C47" s="323"/>
      <c r="D47" s="324"/>
      <c r="E47" s="185">
        <f>E46/D46</f>
        <v>1.3237060442503699E-2</v>
      </c>
      <c r="F47" s="303"/>
      <c r="G47" s="304"/>
      <c r="H47" s="304"/>
      <c r="I47" s="304"/>
      <c r="J47" s="304"/>
      <c r="K47" s="304"/>
      <c r="L47" s="305"/>
      <c r="M47" s="156"/>
      <c r="AH47" s="98"/>
      <c r="AI47" s="98"/>
      <c r="AJ47" s="98"/>
      <c r="AK47" s="98"/>
      <c r="AL47" s="98"/>
      <c r="AM47" s="98"/>
      <c r="AN47" s="98"/>
    </row>
    <row r="48" spans="2:48" ht="14.25" customHeight="1">
      <c r="B48" s="301" t="s">
        <v>110</v>
      </c>
      <c r="C48" s="302"/>
      <c r="D48" s="137">
        <f>D44-D46</f>
        <v>15140.236280490761</v>
      </c>
      <c r="E48" s="137">
        <f>+E46-E44</f>
        <v>4330.3247999999994</v>
      </c>
      <c r="F48" s="137">
        <f>F44-F46</f>
        <v>3.6461049288770511</v>
      </c>
      <c r="G48" s="137">
        <f t="shared" ref="G48:L48" si="57">G44-G46</f>
        <v>3.2572617288770545</v>
      </c>
      <c r="H48" s="137">
        <f t="shared" si="57"/>
        <v>2916.302989816948</v>
      </c>
      <c r="I48" s="138">
        <f t="shared" si="57"/>
        <v>4.3745023123488019E-3</v>
      </c>
      <c r="J48" s="137">
        <f t="shared" si="57"/>
        <v>14.582394075917051</v>
      </c>
      <c r="K48" s="137">
        <f t="shared" si="57"/>
        <v>2.6513206116731993</v>
      </c>
      <c r="L48" s="137">
        <f t="shared" si="57"/>
        <v>32.852950587752957</v>
      </c>
      <c r="M48" s="156"/>
    </row>
    <row r="49" spans="2:40" ht="38.25" customHeight="1">
      <c r="B49" s="301" t="s">
        <v>122</v>
      </c>
      <c r="C49" s="302"/>
      <c r="D49" s="136">
        <f>D30/D44</f>
        <v>3.9337108444142302E-2</v>
      </c>
      <c r="E49" s="136">
        <f>(E46/D46)-(E44/D44)</f>
        <v>1.1771685084320905E-2</v>
      </c>
      <c r="F49" s="136">
        <f t="shared" ref="F49:L49" si="58">F30/F44</f>
        <v>7.3582317597748512E-2</v>
      </c>
      <c r="G49" s="136">
        <f t="shared" si="58"/>
        <v>7.0140470393813492E-2</v>
      </c>
      <c r="H49" s="136">
        <f t="shared" si="58"/>
        <v>9.3900941453704298E-2</v>
      </c>
      <c r="I49" s="136">
        <f t="shared" si="58"/>
        <v>0.12336170108780176</v>
      </c>
      <c r="J49" s="136">
        <f t="shared" si="58"/>
        <v>0.14830353500525398</v>
      </c>
      <c r="K49" s="136">
        <f t="shared" si="58"/>
        <v>3.2328544337188493E-2</v>
      </c>
      <c r="L49" s="136">
        <f t="shared" si="58"/>
        <v>7.096117446146713E-2</v>
      </c>
      <c r="M49" s="157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3"/>
      <c r="AI49" s="103"/>
      <c r="AJ49" s="103"/>
      <c r="AK49" s="103"/>
      <c r="AL49" s="103"/>
      <c r="AM49" s="103"/>
      <c r="AN49" s="103"/>
    </row>
    <row r="50" spans="2:40" ht="22.5" customHeight="1">
      <c r="B50" s="299" t="s">
        <v>187</v>
      </c>
      <c r="C50" s="300"/>
      <c r="D50" s="145">
        <f>D44-D31</f>
        <v>379069.83495323634</v>
      </c>
      <c r="E50" s="145">
        <f>E44+E31</f>
        <v>599.56799999999998</v>
      </c>
      <c r="F50" s="145">
        <f t="shared" ref="F50:L50" si="59">F44-F31</f>
        <v>47.350502611629196</v>
      </c>
      <c r="G50" s="145">
        <f t="shared" si="59"/>
        <v>44.474633610927285</v>
      </c>
      <c r="H50" s="145">
        <f t="shared" si="59"/>
        <v>30382.838429289368</v>
      </c>
      <c r="I50" s="145">
        <f t="shared" si="59"/>
        <v>3.2397525453103281E-2</v>
      </c>
      <c r="J50" s="145">
        <f t="shared" si="59"/>
        <v>90.201963517417624</v>
      </c>
      <c r="K50" s="145">
        <f t="shared" si="59"/>
        <v>81.034421375871602</v>
      </c>
      <c r="L50" s="145">
        <f t="shared" si="59"/>
        <v>411.13476250125098</v>
      </c>
      <c r="M50" s="158"/>
      <c r="N50" s="168">
        <v>89.76</v>
      </c>
      <c r="O50" s="179" t="s">
        <v>119</v>
      </c>
      <c r="X50" s="170"/>
    </row>
    <row r="51" spans="2:40" ht="22.5" customHeight="1">
      <c r="B51" s="299" t="s">
        <v>153</v>
      </c>
      <c r="C51" s="300"/>
      <c r="D51" s="169">
        <f t="shared" ref="D51:L51" si="60">D31</f>
        <v>5814.4862212470725</v>
      </c>
      <c r="E51" s="169">
        <f t="shared" si="60"/>
        <v>35.568000000000005</v>
      </c>
      <c r="F51" s="169">
        <f t="shared" si="60"/>
        <v>2.2008712498080705</v>
      </c>
      <c r="G51" s="169">
        <f t="shared" si="60"/>
        <v>1.9644864946080711</v>
      </c>
      <c r="H51" s="169">
        <f t="shared" si="60"/>
        <v>674.39001452515777</v>
      </c>
      <c r="I51" s="169">
        <f t="shared" si="60"/>
        <v>3.0632559221087999E-3</v>
      </c>
      <c r="J51" s="169">
        <f t="shared" si="60"/>
        <v>8.1260640336480705</v>
      </c>
      <c r="K51" s="169">
        <f t="shared" si="60"/>
        <v>0.97733220077508998</v>
      </c>
      <c r="L51" s="169">
        <f t="shared" si="60"/>
        <v>51.836021692753071</v>
      </c>
      <c r="M51" s="158"/>
    </row>
    <row r="52" spans="2:40" ht="40.5" customHeight="1">
      <c r="B52" s="299" t="s">
        <v>190</v>
      </c>
      <c r="C52" s="300"/>
      <c r="D52" s="146">
        <f>D31/D44</f>
        <v>1.510710076083129E-2</v>
      </c>
      <c r="E52" s="146">
        <f>(E50/D50)-(E44/D44)</f>
        <v>1.1630681411130424E-4</v>
      </c>
      <c r="F52" s="146">
        <f t="shared" ref="F52:L52" si="61">F31/F44</f>
        <v>4.4415948101912683E-2</v>
      </c>
      <c r="G52" s="146">
        <f t="shared" si="61"/>
        <v>4.2302405604233491E-2</v>
      </c>
      <c r="H52" s="146">
        <f t="shared" si="61"/>
        <v>2.1714430047909565E-2</v>
      </c>
      <c r="I52" s="146">
        <f t="shared" si="61"/>
        <v>8.63843323049302E-2</v>
      </c>
      <c r="J52" s="146">
        <f t="shared" si="61"/>
        <v>8.264239847003825E-2</v>
      </c>
      <c r="K52" s="146">
        <f t="shared" si="61"/>
        <v>1.191697723987444E-2</v>
      </c>
      <c r="L52" s="146">
        <f t="shared" si="61"/>
        <v>0.1119639153537421</v>
      </c>
    </row>
    <row r="53" spans="2:40" ht="24.75" customHeight="1">
      <c r="B53" s="299" t="s">
        <v>174</v>
      </c>
      <c r="C53" s="300"/>
      <c r="D53" s="146">
        <f>D52/D49</f>
        <v>0.38404197355489389</v>
      </c>
      <c r="E53" s="146">
        <f>E52/E49</f>
        <v>9.8802179363613046E-3</v>
      </c>
      <c r="F53" s="146">
        <f t="shared" ref="F53:L53" si="62">F52/F49</f>
        <v>0.60362257607487657</v>
      </c>
      <c r="G53" s="146">
        <f t="shared" si="62"/>
        <v>0.60310980760067212</v>
      </c>
      <c r="H53" s="146">
        <f t="shared" si="62"/>
        <v>0.23124826771428447</v>
      </c>
      <c r="I53" s="146">
        <f>I52/I49</f>
        <v>0.70025244093745764</v>
      </c>
      <c r="J53" s="146">
        <f t="shared" si="62"/>
        <v>0.55725170992795592</v>
      </c>
      <c r="K53" s="146">
        <f t="shared" si="62"/>
        <v>0.36862090404008646</v>
      </c>
      <c r="L53" s="146">
        <f t="shared" si="62"/>
        <v>1.5778193667656955</v>
      </c>
      <c r="M53" s="158"/>
    </row>
    <row r="54" spans="2:40" ht="8.25" customHeight="1"/>
    <row r="55" spans="2:40" ht="24.75" customHeight="1">
      <c r="B55" s="316" t="s">
        <v>194</v>
      </c>
      <c r="C55" s="317"/>
      <c r="D55" s="186">
        <f>E51/E44</f>
        <v>6.3063829787234058E-2</v>
      </c>
    </row>
    <row r="56" spans="2:40">
      <c r="B56" s="316" t="s">
        <v>193</v>
      </c>
      <c r="C56" s="317"/>
      <c r="D56" s="186">
        <f>E50/D50</f>
        <v>1.5816821722940979E-3</v>
      </c>
      <c r="E56" s="118"/>
    </row>
    <row r="57" spans="2:40">
      <c r="C57" s="14"/>
      <c r="G57" s="116"/>
    </row>
  </sheetData>
  <mergeCells count="59">
    <mergeCell ref="B32:C32"/>
    <mergeCell ref="F45:L45"/>
    <mergeCell ref="P7:P8"/>
    <mergeCell ref="B41:L41"/>
    <mergeCell ref="D3:L3"/>
    <mergeCell ref="B9:L9"/>
    <mergeCell ref="B10:C10"/>
    <mergeCell ref="B31:C31"/>
    <mergeCell ref="B27:C27"/>
    <mergeCell ref="D4:L4"/>
    <mergeCell ref="B29:C29"/>
    <mergeCell ref="B30:C30"/>
    <mergeCell ref="B6:L6"/>
    <mergeCell ref="B7:B8"/>
    <mergeCell ref="B26:C26"/>
    <mergeCell ref="B22:C22"/>
    <mergeCell ref="D5:L5"/>
    <mergeCell ref="B28:C28"/>
    <mergeCell ref="Y7:AE7"/>
    <mergeCell ref="Q7:W7"/>
    <mergeCell ref="X7:X8"/>
    <mergeCell ref="B21:L21"/>
    <mergeCell ref="B25:L25"/>
    <mergeCell ref="B19:C19"/>
    <mergeCell ref="Q25:W25"/>
    <mergeCell ref="X25:AE25"/>
    <mergeCell ref="B23:C23"/>
    <mergeCell ref="B11:C11"/>
    <mergeCell ref="B20:C20"/>
    <mergeCell ref="B24:C24"/>
    <mergeCell ref="C7:C8"/>
    <mergeCell ref="B1:L1"/>
    <mergeCell ref="B56:C56"/>
    <mergeCell ref="B17:C17"/>
    <mergeCell ref="B18:C18"/>
    <mergeCell ref="B16:C16"/>
    <mergeCell ref="F7:L7"/>
    <mergeCell ref="B12:C12"/>
    <mergeCell ref="B13:C13"/>
    <mergeCell ref="B14:C14"/>
    <mergeCell ref="B15:C15"/>
    <mergeCell ref="D7:D8"/>
    <mergeCell ref="E7:E8"/>
    <mergeCell ref="B55:C55"/>
    <mergeCell ref="B51:C51"/>
    <mergeCell ref="B45:D45"/>
    <mergeCell ref="B47:D47"/>
    <mergeCell ref="B52:C52"/>
    <mergeCell ref="B53:C53"/>
    <mergeCell ref="B46:C46"/>
    <mergeCell ref="F47:L47"/>
    <mergeCell ref="E42:E43"/>
    <mergeCell ref="F42:L42"/>
    <mergeCell ref="B44:C44"/>
    <mergeCell ref="B42:C43"/>
    <mergeCell ref="D42:D43"/>
    <mergeCell ref="B50:C50"/>
    <mergeCell ref="B49:C49"/>
    <mergeCell ref="B48:C48"/>
  </mergeCells>
  <phoneticPr fontId="20" type="noConversion"/>
  <pageMargins left="0.7" right="0.7" top="0.75" bottom="0.75" header="0.3" footer="0.3"/>
  <pageSetup paperSize="9" scale="33" fitToHeight="0" orientation="landscape" verticalDpi="300" r:id="rId1"/>
  <ignoredErrors>
    <ignoredError sqref="E5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BB42"/>
  <sheetViews>
    <sheetView zoomScaleNormal="100" zoomScaleSheetLayoutView="100" workbookViewId="0">
      <pane xSplit="1" ySplit="9" topLeftCell="B10" activePane="bottomRight" state="frozen"/>
      <selection activeCell="AF36" sqref="AF36"/>
      <selection pane="topRight" activeCell="AF36" sqref="AF36"/>
      <selection pane="bottomLeft" activeCell="AF36" sqref="AF36"/>
      <selection pane="bottomRight" activeCell="O37" sqref="O37"/>
    </sheetView>
  </sheetViews>
  <sheetFormatPr defaultRowHeight="13.8"/>
  <cols>
    <col min="1" max="1" width="2.5" customWidth="1"/>
    <col min="2" max="2" width="10.19921875" customWidth="1"/>
    <col min="3" max="3" width="20.59765625" style="14" customWidth="1"/>
    <col min="4" max="4" width="8.8984375" style="1" customWidth="1"/>
    <col min="5" max="5" width="8.69921875" customWidth="1"/>
    <col min="6" max="7" width="6.09765625" bestFit="1" customWidth="1"/>
    <col min="8" max="8" width="6.8984375" bestFit="1" customWidth="1"/>
    <col min="9" max="9" width="7.19921875" customWidth="1"/>
    <col min="10" max="11" width="6.09765625" bestFit="1" customWidth="1"/>
    <col min="12" max="12" width="7" customWidth="1"/>
    <col min="13" max="13" width="5.19921875" customWidth="1"/>
    <col min="14" max="14" width="12.5" customWidth="1"/>
    <col min="15" max="15" width="6.8984375" customWidth="1"/>
    <col min="16" max="16" width="12.69921875" customWidth="1"/>
    <col min="17" max="17" width="7.19921875" bestFit="1" customWidth="1"/>
    <col min="18" max="18" width="9.69921875" customWidth="1"/>
    <col min="19" max="19" width="6.19921875" customWidth="1"/>
    <col min="20" max="20" width="3.5" bestFit="1" customWidth="1"/>
    <col min="21" max="21" width="3.8984375" bestFit="1" customWidth="1"/>
    <col min="22" max="22" width="3.5" bestFit="1" customWidth="1"/>
    <col min="23" max="23" width="4.19921875" bestFit="1" customWidth="1"/>
    <col min="24" max="24" width="11.09765625" customWidth="1"/>
    <col min="25" max="25" width="4.59765625" bestFit="1" customWidth="1"/>
    <col min="26" max="27" width="5" bestFit="1" customWidth="1"/>
    <col min="28" max="30" width="3.5" bestFit="1" customWidth="1"/>
    <col min="31" max="31" width="4.19921875" bestFit="1" customWidth="1"/>
    <col min="32" max="32" width="2.5" customWidth="1"/>
    <col min="33" max="33" width="8.59765625" style="15" customWidth="1"/>
    <col min="34" max="34" width="6.09765625" style="15" customWidth="1"/>
    <col min="35" max="35" width="6.8984375" style="15" customWidth="1"/>
    <col min="36" max="36" width="8.5" style="15" customWidth="1"/>
    <col min="37" max="37" width="10.5" style="15" customWidth="1"/>
    <col min="38" max="38" width="9" style="15"/>
    <col min="39" max="39" width="8.09765625" style="15" customWidth="1"/>
    <col min="40" max="40" width="6.69921875" style="15" customWidth="1"/>
    <col min="41" max="41" width="10.69921875" style="15" customWidth="1"/>
    <col min="42" max="42" width="5.09765625" style="15" customWidth="1"/>
    <col min="43" max="43" width="5.59765625" style="15" bestFit="1" customWidth="1"/>
    <col min="44" max="44" width="6" style="15" customWidth="1"/>
    <col min="45" max="45" width="3.8984375" style="15" bestFit="1" customWidth="1"/>
    <col min="46" max="46" width="5.3984375" style="15" bestFit="1" customWidth="1"/>
    <col min="47" max="47" width="4.8984375" style="15" bestFit="1" customWidth="1"/>
    <col min="48" max="48" width="4.3984375" style="15" bestFit="1" customWidth="1"/>
    <col min="49" max="49" width="5.8984375" style="15" bestFit="1" customWidth="1"/>
  </cols>
  <sheetData>
    <row r="1" spans="2:54" ht="30.75" customHeight="1">
      <c r="B1" s="370" t="s">
        <v>202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</row>
    <row r="2" spans="2:54">
      <c r="B2" s="3" t="s">
        <v>114</v>
      </c>
      <c r="C2" s="190"/>
      <c r="D2" s="351" t="s">
        <v>197</v>
      </c>
      <c r="E2" s="351"/>
      <c r="F2" s="351"/>
      <c r="G2" s="351"/>
      <c r="H2" s="351"/>
      <c r="I2" s="351"/>
      <c r="J2" s="351"/>
      <c r="K2" s="351"/>
      <c r="L2" s="351"/>
    </row>
    <row r="3" spans="2:54" ht="9.75" customHeight="1">
      <c r="B3" s="189"/>
      <c r="C3" s="209"/>
      <c r="D3" s="351" t="s">
        <v>204</v>
      </c>
      <c r="E3" s="351"/>
      <c r="F3" s="351"/>
      <c r="G3" s="351"/>
      <c r="H3" s="351"/>
      <c r="I3" s="351"/>
      <c r="J3" s="351"/>
      <c r="K3" s="351"/>
      <c r="L3" s="351"/>
    </row>
    <row r="4" spans="2:54">
      <c r="B4" s="189"/>
      <c r="C4" s="191" t="s">
        <v>198</v>
      </c>
      <c r="D4" s="351" t="s">
        <v>199</v>
      </c>
      <c r="E4" s="351"/>
      <c r="F4" s="351"/>
      <c r="G4" s="351"/>
      <c r="H4" s="351"/>
      <c r="I4" s="351"/>
      <c r="J4" s="351"/>
      <c r="K4" s="351"/>
      <c r="L4" s="351"/>
    </row>
    <row r="5" spans="2:54" s="3" customFormat="1">
      <c r="B5" s="3" t="s">
        <v>233</v>
      </c>
      <c r="N5" s="3" t="s">
        <v>137</v>
      </c>
    </row>
    <row r="6" spans="2:54" ht="14.4" thickBot="1">
      <c r="B6" s="3" t="s">
        <v>114</v>
      </c>
      <c r="C6" s="133"/>
      <c r="D6" s="351" t="s">
        <v>186</v>
      </c>
      <c r="E6" s="351"/>
      <c r="F6" s="351"/>
      <c r="G6" s="351"/>
      <c r="H6" s="351"/>
      <c r="I6" s="351"/>
      <c r="J6" s="351"/>
      <c r="K6" s="351"/>
      <c r="L6" s="351"/>
      <c r="AG6"/>
      <c r="AH6"/>
      <c r="AI6"/>
      <c r="AJ6"/>
      <c r="AK6"/>
    </row>
    <row r="7" spans="2:54" ht="14.4">
      <c r="B7" s="367" t="s">
        <v>77</v>
      </c>
      <c r="C7" s="368"/>
      <c r="D7" s="368"/>
      <c r="E7" s="368"/>
      <c r="F7" s="368"/>
      <c r="G7" s="368"/>
      <c r="H7" s="368"/>
      <c r="I7" s="368"/>
      <c r="J7" s="368"/>
      <c r="K7" s="368"/>
      <c r="L7" s="369"/>
      <c r="M7" s="38"/>
      <c r="AG7" s="39" t="s">
        <v>78</v>
      </c>
      <c r="AH7"/>
      <c r="AI7"/>
      <c r="AJ7"/>
      <c r="AK7"/>
      <c r="AL7"/>
      <c r="AM7"/>
      <c r="AN7"/>
      <c r="AO7"/>
      <c r="AQ7" s="39" t="s">
        <v>147</v>
      </c>
      <c r="AW7"/>
    </row>
    <row r="8" spans="2:54" ht="57.6">
      <c r="B8" s="408" t="s">
        <v>79</v>
      </c>
      <c r="C8" s="403" t="s">
        <v>80</v>
      </c>
      <c r="D8" s="378" t="s">
        <v>81</v>
      </c>
      <c r="E8" s="378" t="s">
        <v>82</v>
      </c>
      <c r="F8" s="371" t="s">
        <v>83</v>
      </c>
      <c r="G8" s="372"/>
      <c r="H8" s="372"/>
      <c r="I8" s="372"/>
      <c r="J8" s="372"/>
      <c r="K8" s="372"/>
      <c r="L8" s="373"/>
      <c r="M8" s="16"/>
      <c r="P8" s="332" t="s">
        <v>125</v>
      </c>
      <c r="Q8" s="403" t="s">
        <v>84</v>
      </c>
      <c r="R8" s="403"/>
      <c r="S8" s="403"/>
      <c r="T8" s="403"/>
      <c r="U8" s="403"/>
      <c r="V8" s="403"/>
      <c r="W8" s="403"/>
      <c r="X8" s="404" t="s">
        <v>111</v>
      </c>
      <c r="Y8" s="329" t="s">
        <v>100</v>
      </c>
      <c r="Z8" s="330"/>
      <c r="AA8" s="330"/>
      <c r="AB8" s="330"/>
      <c r="AC8" s="330"/>
      <c r="AD8" s="330"/>
      <c r="AE8" s="331"/>
      <c r="AG8" s="17" t="s">
        <v>85</v>
      </c>
      <c r="AH8" s="17" t="s">
        <v>23</v>
      </c>
      <c r="AI8" s="17" t="s">
        <v>86</v>
      </c>
      <c r="AJ8" s="17" t="s">
        <v>87</v>
      </c>
      <c r="AK8" s="17" t="s">
        <v>88</v>
      </c>
      <c r="AL8" s="17" t="s">
        <v>89</v>
      </c>
      <c r="AM8" s="17" t="s">
        <v>90</v>
      </c>
      <c r="AN8" s="18" t="s">
        <v>91</v>
      </c>
      <c r="AO8" s="17" t="s">
        <v>92</v>
      </c>
      <c r="AQ8" s="398" t="s">
        <v>148</v>
      </c>
      <c r="AR8" s="398" t="s">
        <v>82</v>
      </c>
      <c r="AS8" s="400" t="s">
        <v>149</v>
      </c>
      <c r="AT8" s="401"/>
      <c r="AU8" s="401"/>
      <c r="AV8" s="401"/>
      <c r="AW8" s="401"/>
      <c r="AX8" s="401"/>
      <c r="AY8" s="402"/>
      <c r="AZ8" s="398" t="s">
        <v>129</v>
      </c>
      <c r="BA8" s="398" t="s">
        <v>82</v>
      </c>
      <c r="BB8" s="398" t="s">
        <v>128</v>
      </c>
    </row>
    <row r="9" spans="2:54" ht="37.5" customHeight="1" thickBot="1">
      <c r="B9" s="409"/>
      <c r="C9" s="410"/>
      <c r="D9" s="411"/>
      <c r="E9" s="411"/>
      <c r="F9" s="40" t="s">
        <v>12</v>
      </c>
      <c r="G9" s="40" t="s">
        <v>13</v>
      </c>
      <c r="H9" s="41" t="s">
        <v>18</v>
      </c>
      <c r="I9" s="40" t="s">
        <v>14</v>
      </c>
      <c r="J9" s="40" t="s">
        <v>22</v>
      </c>
      <c r="K9" s="40" t="s">
        <v>19</v>
      </c>
      <c r="L9" s="42" t="s">
        <v>15</v>
      </c>
      <c r="M9" s="19"/>
      <c r="P9" s="332"/>
      <c r="Q9" s="34" t="s">
        <v>12</v>
      </c>
      <c r="R9" s="34" t="s">
        <v>13</v>
      </c>
      <c r="S9" s="20" t="s">
        <v>18</v>
      </c>
      <c r="T9" s="34" t="s">
        <v>14</v>
      </c>
      <c r="U9" s="34" t="s">
        <v>22</v>
      </c>
      <c r="V9" s="34" t="s">
        <v>19</v>
      </c>
      <c r="W9" s="34" t="s">
        <v>15</v>
      </c>
      <c r="X9" s="347"/>
      <c r="Y9" s="34" t="s">
        <v>12</v>
      </c>
      <c r="Z9" s="34" t="s">
        <v>13</v>
      </c>
      <c r="AA9" s="20" t="s">
        <v>18</v>
      </c>
      <c r="AB9" s="34" t="s">
        <v>14</v>
      </c>
      <c r="AC9" s="34" t="s">
        <v>22</v>
      </c>
      <c r="AD9" s="34" t="s">
        <v>19</v>
      </c>
      <c r="AE9" s="34" t="s">
        <v>15</v>
      </c>
      <c r="AG9" s="21" t="s">
        <v>93</v>
      </c>
      <c r="AH9" s="21" t="s">
        <v>94</v>
      </c>
      <c r="AI9" s="21" t="s">
        <v>95</v>
      </c>
      <c r="AJ9" s="21" t="s">
        <v>96</v>
      </c>
      <c r="AK9" s="21" t="s">
        <v>93</v>
      </c>
      <c r="AL9" s="21" t="s">
        <v>96</v>
      </c>
      <c r="AM9" s="21" t="s">
        <v>97</v>
      </c>
      <c r="AN9" s="22"/>
      <c r="AO9" s="23"/>
      <c r="AQ9" s="399"/>
      <c r="AR9" s="399"/>
      <c r="AS9" s="162" t="s">
        <v>12</v>
      </c>
      <c r="AT9" s="162" t="s">
        <v>13</v>
      </c>
      <c r="AU9" s="163" t="s">
        <v>18</v>
      </c>
      <c r="AV9" s="162" t="s">
        <v>14</v>
      </c>
      <c r="AW9" s="162" t="s">
        <v>22</v>
      </c>
      <c r="AX9" s="162" t="s">
        <v>19</v>
      </c>
      <c r="AY9" s="162" t="s">
        <v>15</v>
      </c>
      <c r="AZ9" s="399"/>
      <c r="BA9" s="399"/>
      <c r="BB9" s="399"/>
    </row>
    <row r="10" spans="2:54">
      <c r="B10" s="405" t="s">
        <v>98</v>
      </c>
      <c r="C10" s="406"/>
      <c r="D10" s="406"/>
      <c r="E10" s="406"/>
      <c r="F10" s="406"/>
      <c r="G10" s="406"/>
      <c r="H10" s="406"/>
      <c r="I10" s="406"/>
      <c r="J10" s="406"/>
      <c r="K10" s="406"/>
      <c r="L10" s="407"/>
      <c r="M10" s="19"/>
      <c r="W10" s="19"/>
      <c r="X10" s="19"/>
      <c r="Y10" s="19"/>
      <c r="Z10" s="19"/>
      <c r="AA10" s="19"/>
      <c r="AB10" s="19"/>
      <c r="AC10" s="19"/>
      <c r="AD10" s="19"/>
      <c r="AE10" s="19"/>
      <c r="AG10" s="10"/>
      <c r="AH10" s="10"/>
      <c r="AI10" s="10"/>
      <c r="AJ10" s="10"/>
      <c r="AK10" s="10"/>
      <c r="AL10" s="10"/>
      <c r="AM10" s="10"/>
      <c r="AN10" s="10"/>
      <c r="AO10" s="10"/>
      <c r="AW10"/>
      <c r="AZ10" s="15"/>
    </row>
    <row r="11" spans="2:54" ht="24" customHeight="1">
      <c r="B11" s="365" t="s">
        <v>184</v>
      </c>
      <c r="C11" s="366"/>
      <c r="D11" s="188">
        <f>P11-X11</f>
        <v>272.08619293863569</v>
      </c>
      <c r="E11" s="188">
        <f>BA11</f>
        <v>35.568000000000005</v>
      </c>
      <c r="F11" s="188">
        <f t="shared" ref="F11:G15" si="0">Q11-Y11</f>
        <v>1.3604309646931786E-4</v>
      </c>
      <c r="G11" s="188">
        <f t="shared" si="0"/>
        <v>1.3604309646931786E-4</v>
      </c>
      <c r="H11" s="188">
        <f>S11-AA11+BB11</f>
        <v>31.88050785341634</v>
      </c>
      <c r="I11" s="188">
        <f t="shared" ref="I11:L15" si="1">T11-AB11</f>
        <v>0</v>
      </c>
      <c r="J11" s="188">
        <f t="shared" si="1"/>
        <v>1.3604309646931786E-4</v>
      </c>
      <c r="K11" s="188">
        <f t="shared" si="1"/>
        <v>1.3604309646931786E-2</v>
      </c>
      <c r="L11" s="188">
        <f t="shared" si="1"/>
        <v>2.0406464470397682E-3</v>
      </c>
      <c r="M11" s="19"/>
      <c r="P11" s="132">
        <v>523.26529200000004</v>
      </c>
      <c r="Q11" s="132">
        <v>2.61632646E-4</v>
      </c>
      <c r="R11" s="132">
        <v>2.61632646E-4</v>
      </c>
      <c r="S11" s="132">
        <v>45.882651799440005</v>
      </c>
      <c r="T11" s="132">
        <v>0</v>
      </c>
      <c r="U11" s="132">
        <v>2.61632646E-4</v>
      </c>
      <c r="V11" s="132">
        <v>2.6163264600000003E-2</v>
      </c>
      <c r="W11" s="132">
        <v>3.9244896900000005E-3</v>
      </c>
      <c r="X11" s="29">
        <f>(1-$AN11)*P11</f>
        <v>251.17909906136433</v>
      </c>
      <c r="Y11" s="29">
        <f>(1-$AN11)*Q11</f>
        <v>1.2558954953068214E-4</v>
      </c>
      <c r="Z11" s="29">
        <f>(1-$AN11)*R11</f>
        <v>1.2558954953068214E-4</v>
      </c>
      <c r="AA11" s="29">
        <f t="shared" ref="AA11:AE11" si="2">(1-$AN11)*S11</f>
        <v>22.024703946023667</v>
      </c>
      <c r="AB11" s="29">
        <f t="shared" si="2"/>
        <v>0</v>
      </c>
      <c r="AC11" s="29">
        <f t="shared" si="2"/>
        <v>1.2558954953068214E-4</v>
      </c>
      <c r="AD11" s="29">
        <f t="shared" si="2"/>
        <v>1.2558954953068217E-2</v>
      </c>
      <c r="AE11" s="29">
        <f t="shared" si="2"/>
        <v>1.8838432429602325E-3</v>
      </c>
      <c r="AG11" s="161">
        <v>0.12</v>
      </c>
      <c r="AH11" s="161">
        <v>0.16</v>
      </c>
      <c r="AI11" s="161">
        <v>0.03</v>
      </c>
      <c r="AJ11" s="161">
        <v>0.13</v>
      </c>
      <c r="AK11" s="161">
        <v>0.05</v>
      </c>
      <c r="AL11" s="161">
        <v>0.1</v>
      </c>
      <c r="AM11" s="24">
        <v>0.1</v>
      </c>
      <c r="AN11" s="24">
        <f>100%-(100%-AG11)*(100%-AH11)*(100%-AI11)*(100%-AJ11)*(100%-AK11)*(100%-AL11)*(100%-AM11)</f>
        <v>0.51997752783999995</v>
      </c>
      <c r="AO11" s="30">
        <f>100%-AN11</f>
        <v>0.48002247216000005</v>
      </c>
      <c r="AQ11" s="149"/>
      <c r="AR11" s="149">
        <f>AQ11*520*3.6/1000</f>
        <v>0</v>
      </c>
      <c r="AS11" s="149">
        <f>'[1]Emisja łącznie 2019'!B8/'[1]Bud.gminne 2019'!$C$28*$AR$10</f>
        <v>0</v>
      </c>
      <c r="AT11" s="149">
        <f>'[1]Emisja łącznie 2019'!C8/'[1]Bud.gminne 2019'!$C$28*$AR$10</f>
        <v>0</v>
      </c>
      <c r="AU11" s="149">
        <f>'[1]Emisja łącznie 2019'!D8/'[1]Bud.gminne 2019'!$C$28*$AR$10</f>
        <v>0</v>
      </c>
      <c r="AV11" s="149">
        <f>'[1]Emisja łącznie 2019'!E8/'[1]Bud.gminne 2019'!$C$28*$AR$10</f>
        <v>0</v>
      </c>
      <c r="AW11" s="149">
        <f>'[1]Emisja łącznie 2019'!F8/'[1]Bud.gminne 2019'!$C$28*$AR$10</f>
        <v>0</v>
      </c>
      <c r="AX11" s="149">
        <f>'[1]Emisja łącznie 2019'!G8/'[1]Bud.gminne 2019'!$C$28*$AR$10</f>
        <v>0</v>
      </c>
      <c r="AY11" s="149">
        <f>'[1]Emisja łącznie 2019'!H8/'[1]Bud.gminne 2019'!$C$28*$AR$10</f>
        <v>0</v>
      </c>
      <c r="AZ11" s="149">
        <v>9.8800000000000008</v>
      </c>
      <c r="BA11" s="149">
        <f>AZ11*1*3.6</f>
        <v>35.568000000000005</v>
      </c>
      <c r="BB11" s="149">
        <f>BA11*'Wskażniki emisji'!B17/3.6</f>
        <v>8.0225600000000021</v>
      </c>
    </row>
    <row r="12" spans="2:54" s="192" customFormat="1" ht="45" customHeight="1">
      <c r="B12" s="363" t="s">
        <v>200</v>
      </c>
      <c r="C12" s="364"/>
      <c r="D12" s="193">
        <f>P12-X12+BA12</f>
        <v>18.872000000000007</v>
      </c>
      <c r="E12" s="193">
        <f>X12+BA12</f>
        <v>51.127999999999993</v>
      </c>
      <c r="F12" s="193">
        <f t="shared" si="0"/>
        <v>9.4360000000000025E-6</v>
      </c>
      <c r="G12" s="193">
        <f t="shared" si="0"/>
        <v>9.4359999999999991E-6</v>
      </c>
      <c r="H12" s="193">
        <f>S12-AA12+BB12</f>
        <v>1.0534350400000005</v>
      </c>
      <c r="I12" s="193">
        <f t="shared" si="1"/>
        <v>0</v>
      </c>
      <c r="J12" s="193">
        <f t="shared" si="1"/>
        <v>9.4359999999999991E-6</v>
      </c>
      <c r="K12" s="193">
        <f t="shared" si="1"/>
        <v>9.436000000000006E-4</v>
      </c>
      <c r="L12" s="193">
        <f t="shared" si="1"/>
        <v>4.9067200000000016E-4</v>
      </c>
      <c r="M12" s="194"/>
      <c r="N12"/>
      <c r="P12" s="193">
        <v>70</v>
      </c>
      <c r="Q12" s="193">
        <f>$P$12*'Wskażniki emisji'!B5/1000000</f>
        <v>3.4999999999999997E-5</v>
      </c>
      <c r="R12" s="193">
        <f>$P$12*'Wskażniki emisji'!C5/1000000</f>
        <v>3.4999999999999997E-5</v>
      </c>
      <c r="S12" s="193">
        <f>$P$12*'Wskażniki emisji'!D5/1000000</f>
        <v>3.9074</v>
      </c>
      <c r="T12" s="193">
        <f>$P$12*'Wskażniki emisji'!E5/1000000</f>
        <v>0</v>
      </c>
      <c r="U12" s="193">
        <f>$P$12*'Wskażniki emisji'!F5/1000000</f>
        <v>3.4999999999999997E-5</v>
      </c>
      <c r="V12" s="193">
        <f>$P$12*'Wskażniki emisji'!G5/1000000</f>
        <v>3.5000000000000001E-3</v>
      </c>
      <c r="W12" s="193">
        <f>$P$12*'Wskażniki emisji'!H5/1000000</f>
        <v>1.82E-3</v>
      </c>
      <c r="X12" s="193">
        <f>(1-AN12)*P12</f>
        <v>51.127999999999993</v>
      </c>
      <c r="Y12" s="193">
        <f t="shared" ref="Y12:Y15" si="3">(1-$AN12)*Q12</f>
        <v>2.5563999999999994E-5</v>
      </c>
      <c r="Z12" s="193">
        <f>$X$12*'Wskażniki emisji'!C5/1000000</f>
        <v>2.5563999999999998E-5</v>
      </c>
      <c r="AA12" s="193">
        <f>$X$12*'Wskażniki emisji'!D5/1000000</f>
        <v>2.8539649599999994</v>
      </c>
      <c r="AB12" s="193">
        <f>$X$12*'Wskażniki emisji'!E5/1000000</f>
        <v>0</v>
      </c>
      <c r="AC12" s="193">
        <f>$X$12*'Wskażniki emisji'!F5/1000000</f>
        <v>2.5563999999999998E-5</v>
      </c>
      <c r="AD12" s="193">
        <f>$X$12*'Wskażniki emisji'!G5/1000000</f>
        <v>2.5563999999999995E-3</v>
      </c>
      <c r="AE12" s="193">
        <f>$X$12*'Wskażniki emisji'!H5/1000000</f>
        <v>1.3293279999999998E-3</v>
      </c>
      <c r="AG12" s="195">
        <v>0.12</v>
      </c>
      <c r="AH12" s="195">
        <v>0.17</v>
      </c>
      <c r="AI12" s="195"/>
      <c r="AJ12" s="195"/>
      <c r="AK12" s="195"/>
      <c r="AL12" s="195"/>
      <c r="AM12" s="196"/>
      <c r="AN12" s="196">
        <f>100%-(100%-AG12)*(100%-AH12)*(100%-AI12)*(100%-AJ12)*(100%-AK12)*(100%-AL12)*(100%-AM12)</f>
        <v>0.26960000000000006</v>
      </c>
      <c r="AO12" s="197">
        <f>100%-AN12</f>
        <v>0.73039999999999994</v>
      </c>
      <c r="AP12" s="198"/>
      <c r="AQ12" s="199"/>
      <c r="AR12" s="199">
        <f>AQ12*520*3.6/1000</f>
        <v>0</v>
      </c>
      <c r="AS12" s="199">
        <f>'[1]Emisja łącznie 2019'!B9/'[1]Bud.gminne 2019'!$C$28*$AR$10</f>
        <v>0</v>
      </c>
      <c r="AT12" s="199">
        <f>'[1]Emisja łącznie 2019'!C9/'[1]Bud.gminne 2019'!$C$28*$AR$10</f>
        <v>0</v>
      </c>
      <c r="AU12" s="199">
        <f>'[1]Emisja łącznie 2019'!D9/'[1]Bud.gminne 2019'!$C$28*$AR$10</f>
        <v>0</v>
      </c>
      <c r="AV12" s="199">
        <f>'[1]Emisja łącznie 2019'!E9/'[1]Bud.gminne 2019'!$C$28*$AR$10</f>
        <v>0</v>
      </c>
      <c r="AW12" s="199">
        <f>'[1]Emisja łącznie 2019'!F9/'[1]Bud.gminne 2019'!$C$28*$AR$10</f>
        <v>0</v>
      </c>
      <c r="AX12" s="199">
        <f>'[1]Emisja łącznie 2019'!G9/'[1]Bud.gminne 2019'!$C$28*$AR$10</f>
        <v>0</v>
      </c>
      <c r="AY12" s="199">
        <f>'[1]Emisja łącznie 2019'!H9/'[1]Bud.gminne 2019'!$C$28*$AR$10</f>
        <v>0</v>
      </c>
      <c r="AZ12" s="199"/>
      <c r="BA12" s="199">
        <f>AZ12*1*3.6</f>
        <v>0</v>
      </c>
      <c r="BB12" s="199">
        <f>BA12*'Wskażniki emisji'!B17/3.6</f>
        <v>0</v>
      </c>
    </row>
    <row r="13" spans="2:54" s="192" customFormat="1" ht="75.75" customHeight="1">
      <c r="B13" s="363" t="s">
        <v>208</v>
      </c>
      <c r="C13" s="364"/>
      <c r="D13" s="193">
        <f>P13-X13+BA13</f>
        <v>105.61919617280002</v>
      </c>
      <c r="E13" s="193">
        <f>BA13</f>
        <v>0</v>
      </c>
      <c r="F13" s="193">
        <f t="shared" ref="F13" si="4">Q13-Y13</f>
        <v>5.2809598086400015E-5</v>
      </c>
      <c r="G13" s="193">
        <f t="shared" ref="G13" si="5">R13-Z13</f>
        <v>5.2809598086400015E-5</v>
      </c>
      <c r="H13" s="193">
        <f>S13-AA13+BB13</f>
        <v>5.895663530365697</v>
      </c>
      <c r="I13" s="193">
        <f t="shared" ref="I13" si="6">T13-AB13</f>
        <v>0</v>
      </c>
      <c r="J13" s="193">
        <f>U13-AC13</f>
        <v>5.2809598086400015E-5</v>
      </c>
      <c r="K13" s="193">
        <f t="shared" ref="K13" si="7">V13-AD13</f>
        <v>5.2809598086400013E-3</v>
      </c>
      <c r="L13" s="193">
        <f t="shared" ref="L13" si="8">W13-AE13</f>
        <v>2.7460991004928004E-3</v>
      </c>
      <c r="M13" s="194"/>
      <c r="N13"/>
      <c r="P13" s="193">
        <v>200</v>
      </c>
      <c r="Q13" s="193">
        <f>$P$13*'Wskażniki emisji'!B5/1000000</f>
        <v>1E-4</v>
      </c>
      <c r="R13" s="193">
        <f>$P$13*'Wskażniki emisji'!C5/1000000</f>
        <v>1E-4</v>
      </c>
      <c r="S13" s="193">
        <f>$P$13*'Wskażniki emisji'!D5/1000000</f>
        <v>11.164</v>
      </c>
      <c r="T13" s="193">
        <f>$P$13*'Wskażniki emisji'!E5/1000000</f>
        <v>0</v>
      </c>
      <c r="U13" s="193">
        <f>$P$13*'Wskażniki emisji'!F5/1000000</f>
        <v>1E-4</v>
      </c>
      <c r="V13" s="193">
        <f>$P$13*'Wskażniki emisji'!G5/1000000</f>
        <v>0.01</v>
      </c>
      <c r="W13" s="193">
        <f>$P$13*'Wskażniki emisji'!H5/1000000</f>
        <v>5.1999999999999998E-3</v>
      </c>
      <c r="X13" s="193">
        <f>(1-AN13)*P13</f>
        <v>94.380803827199983</v>
      </c>
      <c r="Y13" s="193">
        <f>(1-$AN13)*Q13</f>
        <v>4.719040191359999E-5</v>
      </c>
      <c r="Z13" s="193">
        <f t="shared" ref="Z13:AD13" si="9">(1-$AN13)*R13</f>
        <v>4.719040191359999E-5</v>
      </c>
      <c r="AA13" s="193">
        <f>(1-$AN13)*S13</f>
        <v>5.2683364696343027</v>
      </c>
      <c r="AB13" s="193">
        <f t="shared" si="9"/>
        <v>0</v>
      </c>
      <c r="AC13" s="193">
        <f t="shared" si="9"/>
        <v>4.719040191359999E-5</v>
      </c>
      <c r="AD13" s="193">
        <f t="shared" si="9"/>
        <v>4.7190401913599989E-3</v>
      </c>
      <c r="AE13" s="193">
        <f>(1-$AN13)*W13</f>
        <v>2.4539008995071994E-3</v>
      </c>
      <c r="AG13" s="195">
        <v>0.12</v>
      </c>
      <c r="AH13" s="195">
        <v>0.17</v>
      </c>
      <c r="AI13" s="195">
        <v>0.03</v>
      </c>
      <c r="AJ13" s="195">
        <v>0.13</v>
      </c>
      <c r="AK13" s="195"/>
      <c r="AL13" s="195">
        <v>0.13</v>
      </c>
      <c r="AM13" s="196">
        <v>0.12</v>
      </c>
      <c r="AN13" s="196">
        <f>100%-(100%-AG13)*(100%-AH13)*(100%-AI13)*(100%-AJ13)*(100%-AK13)*(100%-AL13)*(100%-AM13)</f>
        <v>0.52809598086400011</v>
      </c>
      <c r="AO13" s="197">
        <f>100%-AN13</f>
        <v>0.47190401913599989</v>
      </c>
      <c r="AP13" s="198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>
        <f>AZ13*1*3.6</f>
        <v>0</v>
      </c>
      <c r="BB13" s="199">
        <f>BA13*'Wskażniki emisji'!B17/3.6</f>
        <v>0</v>
      </c>
    </row>
    <row r="14" spans="2:54" s="192" customFormat="1" ht="75.75" customHeight="1">
      <c r="B14" s="363" t="s">
        <v>211</v>
      </c>
      <c r="C14" s="364"/>
      <c r="D14" s="193"/>
      <c r="E14" s="193">
        <f>BA14/3.6</f>
        <v>651.6</v>
      </c>
      <c r="F14" s="193">
        <f t="shared" ref="F14" si="10">Q14-Y14</f>
        <v>0</v>
      </c>
      <c r="G14" s="193">
        <f t="shared" ref="G14" si="11">R14-Z14</f>
        <v>0</v>
      </c>
      <c r="H14" s="193">
        <f>S14-AA14+BB14</f>
        <v>529.0992</v>
      </c>
      <c r="I14" s="193">
        <f t="shared" ref="I14" si="12">T14-AB14</f>
        <v>0</v>
      </c>
      <c r="J14" s="193">
        <f>U14-AC14</f>
        <v>0</v>
      </c>
      <c r="K14" s="193">
        <f t="shared" ref="K14" si="13">V14-AD14</f>
        <v>0</v>
      </c>
      <c r="L14" s="193">
        <f t="shared" ref="L14" si="14">W14-AE14</f>
        <v>0</v>
      </c>
      <c r="M14" s="194"/>
      <c r="N14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G14" s="195"/>
      <c r="AH14" s="195"/>
      <c r="AI14" s="195"/>
      <c r="AJ14" s="195"/>
      <c r="AK14" s="195"/>
      <c r="AL14" s="195"/>
      <c r="AM14" s="196"/>
      <c r="AN14" s="196"/>
      <c r="AO14" s="197"/>
      <c r="AP14" s="198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>
        <v>651.6</v>
      </c>
      <c r="BA14" s="199">
        <f>AZ14*1*3.6</f>
        <v>2345.7600000000002</v>
      </c>
      <c r="BB14" s="199">
        <f>BA14*'Wskażniki emisji'!B17/3.6</f>
        <v>529.0992</v>
      </c>
    </row>
    <row r="15" spans="2:54" ht="11.25" customHeight="1">
      <c r="B15" s="365" t="s">
        <v>185</v>
      </c>
      <c r="C15" s="366"/>
      <c r="D15" s="188">
        <f>R32*3.6</f>
        <v>29.817220708446868</v>
      </c>
      <c r="E15" s="188">
        <v>0</v>
      </c>
      <c r="F15" s="188">
        <f t="shared" si="0"/>
        <v>0</v>
      </c>
      <c r="G15" s="188">
        <f t="shared" si="0"/>
        <v>0</v>
      </c>
      <c r="H15" s="188">
        <f>S32</f>
        <v>4.9695367847411447</v>
      </c>
      <c r="I15" s="188">
        <f t="shared" si="1"/>
        <v>0</v>
      </c>
      <c r="J15" s="188">
        <f t="shared" si="1"/>
        <v>0</v>
      </c>
      <c r="K15" s="188">
        <f t="shared" si="1"/>
        <v>0</v>
      </c>
      <c r="L15" s="188">
        <f t="shared" si="1"/>
        <v>0</v>
      </c>
      <c r="M15" s="19"/>
      <c r="P15" s="29"/>
      <c r="Q15" s="29"/>
      <c r="R15" s="29"/>
      <c r="S15" s="29"/>
      <c r="T15" s="29"/>
      <c r="U15" s="29"/>
      <c r="V15" s="29"/>
      <c r="W15" s="29"/>
      <c r="X15" s="29">
        <f>(1-AN15)*P15</f>
        <v>0</v>
      </c>
      <c r="Y15" s="29">
        <f t="shared" si="3"/>
        <v>0</v>
      </c>
      <c r="Z15" s="29">
        <f>$X$15*'Wskażniki emisji'!C12/1000000</f>
        <v>0</v>
      </c>
      <c r="AA15" s="29">
        <f>$X$15*'Wskażniki emisji'!D12/1000000</f>
        <v>0</v>
      </c>
      <c r="AB15" s="29">
        <f>$X$15*'Wskażniki emisji'!E12/1000000</f>
        <v>0</v>
      </c>
      <c r="AC15" s="29">
        <f>$X$15*'Wskażniki emisji'!F12/1000000</f>
        <v>0</v>
      </c>
      <c r="AD15" s="29">
        <f>$X$15*'Wskażniki emisji'!G12/1000000</f>
        <v>0</v>
      </c>
      <c r="AE15" s="29">
        <f>$X$15*'Wskażniki emisji'!H12/1000000</f>
        <v>0</v>
      </c>
      <c r="AG15" s="24"/>
      <c r="AH15" s="24"/>
      <c r="AI15" s="24"/>
      <c r="AJ15" s="24"/>
      <c r="AK15" s="24"/>
      <c r="AL15" s="24"/>
      <c r="AM15" s="24"/>
      <c r="AN15" s="24">
        <f>100%-(100%-AG15)*(100%-AH15)*(100%-AI15)*(100%-AJ15)*(100%-AK15)*(100%-AL15)*(100%-AM15)</f>
        <v>0</v>
      </c>
      <c r="AO15" s="30">
        <f>100%-AN15</f>
        <v>1</v>
      </c>
    </row>
    <row r="16" spans="2:54">
      <c r="B16" s="374" t="s">
        <v>99</v>
      </c>
      <c r="C16" s="375"/>
      <c r="D16" s="29">
        <f>SUM(D11:D15)</f>
        <v>426.39460981988259</v>
      </c>
      <c r="E16" s="29">
        <f t="shared" ref="E16:L16" si="15">SUM(E11:E15)</f>
        <v>738.29600000000005</v>
      </c>
      <c r="F16" s="29">
        <f t="shared" si="15"/>
        <v>1.9828869455571787E-4</v>
      </c>
      <c r="G16" s="29">
        <f t="shared" si="15"/>
        <v>1.9828869455571787E-4</v>
      </c>
      <c r="H16" s="29">
        <f t="shared" si="15"/>
        <v>572.89834320852322</v>
      </c>
      <c r="I16" s="29">
        <f t="shared" si="15"/>
        <v>0</v>
      </c>
      <c r="J16" s="29">
        <f t="shared" si="15"/>
        <v>1.9828869455571787E-4</v>
      </c>
      <c r="K16" s="29">
        <f t="shared" si="15"/>
        <v>1.9828869455571788E-2</v>
      </c>
      <c r="L16" s="29">
        <f t="shared" si="15"/>
        <v>5.2774175475325692E-3</v>
      </c>
      <c r="M16" s="25"/>
      <c r="P16" s="19"/>
      <c r="AG16" s="31"/>
      <c r="AH16" s="32"/>
      <c r="AI16" s="32"/>
      <c r="AJ16" s="32"/>
      <c r="AK16" s="10"/>
      <c r="AL16" s="32"/>
      <c r="AM16" s="32"/>
      <c r="AN16" s="10"/>
      <c r="AO16" s="10"/>
    </row>
    <row r="17" spans="1:49" ht="14.25" customHeight="1">
      <c r="M17" s="25"/>
      <c r="Q17" s="329" t="s">
        <v>84</v>
      </c>
      <c r="R17" s="330"/>
      <c r="S17" s="330"/>
      <c r="T17" s="330"/>
      <c r="U17" s="330"/>
      <c r="V17" s="330"/>
      <c r="W17" s="331"/>
      <c r="Y17" s="329" t="s">
        <v>100</v>
      </c>
      <c r="Z17" s="330"/>
      <c r="AA17" s="330"/>
      <c r="AB17" s="330"/>
      <c r="AC17" s="330"/>
      <c r="AD17" s="330"/>
      <c r="AE17" s="331"/>
      <c r="AG17" s="10"/>
      <c r="AH17" s="10"/>
      <c r="AI17" s="10"/>
      <c r="AJ17" s="10"/>
      <c r="AK17" s="10"/>
      <c r="AL17" s="10"/>
      <c r="AM17" s="10"/>
      <c r="AN17" s="10"/>
      <c r="AO17" s="10"/>
    </row>
    <row r="18" spans="1:49" ht="67.2">
      <c r="B18" s="383" t="s">
        <v>101</v>
      </c>
      <c r="C18" s="383"/>
      <c r="D18" s="383"/>
      <c r="E18" s="383"/>
      <c r="F18" s="383"/>
      <c r="G18" s="383"/>
      <c r="H18" s="383"/>
      <c r="I18" s="383"/>
      <c r="J18" s="383"/>
      <c r="K18" s="383"/>
      <c r="L18" s="383"/>
      <c r="M18" s="25"/>
      <c r="N18" s="33" t="s">
        <v>102</v>
      </c>
      <c r="O18" s="33" t="s">
        <v>150</v>
      </c>
      <c r="P18" s="33" t="s">
        <v>151</v>
      </c>
      <c r="Q18" s="34" t="s">
        <v>12</v>
      </c>
      <c r="R18" s="34" t="s">
        <v>13</v>
      </c>
      <c r="S18" s="20" t="s">
        <v>18</v>
      </c>
      <c r="T18" s="34" t="s">
        <v>14</v>
      </c>
      <c r="U18" s="34" t="s">
        <v>22</v>
      </c>
      <c r="V18" s="34" t="s">
        <v>19</v>
      </c>
      <c r="W18" s="34" t="s">
        <v>15</v>
      </c>
      <c r="X18" s="33" t="s">
        <v>103</v>
      </c>
      <c r="Y18" s="34" t="s">
        <v>12</v>
      </c>
      <c r="Z18" s="34" t="s">
        <v>13</v>
      </c>
      <c r="AA18" s="20" t="s">
        <v>18</v>
      </c>
      <c r="AB18" s="34" t="s">
        <v>14</v>
      </c>
      <c r="AC18" s="34" t="s">
        <v>22</v>
      </c>
      <c r="AD18" s="34" t="s">
        <v>19</v>
      </c>
      <c r="AE18" s="34" t="s">
        <v>15</v>
      </c>
      <c r="AG18" s="10"/>
      <c r="AH18" s="10"/>
      <c r="AI18" s="10"/>
      <c r="AJ18" s="10"/>
      <c r="AK18" s="10"/>
      <c r="AL18" s="10"/>
      <c r="AM18" s="10"/>
      <c r="AN18" s="10"/>
      <c r="AO18" s="10"/>
    </row>
    <row r="19" spans="1:49" ht="25.5" customHeight="1">
      <c r="B19" s="365" t="s">
        <v>138</v>
      </c>
      <c r="C19" s="366"/>
      <c r="D19" s="29">
        <f>P19-X19</f>
        <v>0</v>
      </c>
      <c r="E19" s="29">
        <v>0</v>
      </c>
      <c r="F19" s="29">
        <f t="shared" ref="F19:L24" si="16">Q19-Y19</f>
        <v>0</v>
      </c>
      <c r="G19" s="29">
        <f t="shared" si="16"/>
        <v>0</v>
      </c>
      <c r="H19" s="29">
        <f t="shared" si="16"/>
        <v>0</v>
      </c>
      <c r="I19" s="147">
        <f t="shared" si="16"/>
        <v>0</v>
      </c>
      <c r="J19" s="29">
        <f t="shared" si="16"/>
        <v>0</v>
      </c>
      <c r="K19" s="29">
        <f t="shared" si="16"/>
        <v>0</v>
      </c>
      <c r="L19" s="29">
        <f t="shared" si="16"/>
        <v>0</v>
      </c>
      <c r="M19" s="25"/>
      <c r="N19" s="132">
        <f>'Efekt ekologiczny 2016-2020'!N50</f>
        <v>89.76</v>
      </c>
      <c r="O19" s="29"/>
      <c r="P19" s="29">
        <f>N19*O19</f>
        <v>0</v>
      </c>
      <c r="Q19" s="29">
        <f>$P$19*'Wskażniki emisji'!B11/1000000</f>
        <v>0</v>
      </c>
      <c r="R19" s="29">
        <f>$P$19*'Wskażniki emisji'!C11/1000000</f>
        <v>0</v>
      </c>
      <c r="S19" s="29">
        <f>$P$19*'Wskażniki emisji'!D11/1000000</f>
        <v>0</v>
      </c>
      <c r="T19" s="29">
        <f>$P$19*'Wskażniki emisji'!E11/1000000</f>
        <v>0</v>
      </c>
      <c r="U19" s="29">
        <f>$P$19*'Wskażniki emisji'!F11/1000000</f>
        <v>0</v>
      </c>
      <c r="V19" s="29">
        <f>$P$19*'Wskażniki emisji'!G11/1000000</f>
        <v>0</v>
      </c>
      <c r="W19" s="29">
        <f>$P$19*'Wskażniki emisji'!H11/1000000</f>
        <v>0</v>
      </c>
      <c r="X19" s="29">
        <f>(1-AN19)*P19</f>
        <v>0</v>
      </c>
      <c r="Y19" s="29">
        <f>$X$19*'Wskażniki emisji'!B12/1000000</f>
        <v>0</v>
      </c>
      <c r="Z19" s="29">
        <f>$X$19*'Wskażniki emisji'!C12/1000000</f>
        <v>0</v>
      </c>
      <c r="AA19" s="29">
        <f>$X$19*'Wskażniki emisji'!D12/1000000</f>
        <v>0</v>
      </c>
      <c r="AB19" s="29">
        <f>$X$19*'Wskażniki emisji'!E12/1000000</f>
        <v>0</v>
      </c>
      <c r="AC19" s="29">
        <f>$X$19*'Wskażniki emisji'!F12/1000000</f>
        <v>0</v>
      </c>
      <c r="AD19" s="29">
        <f>$X$19*'Wskażniki emisji'!G12/1000000</f>
        <v>0</v>
      </c>
      <c r="AE19" s="29">
        <f>$X$19*'Wskażniki emisji'!H12/1000000</f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0.25</v>
      </c>
      <c r="AN19" s="24">
        <f>100%-(100%-AG19)*(100%-AH19)*(100%-AI19)*(100%-AJ19)*(100%-AK19)*(100%-AL19)*(100%-AM19)</f>
        <v>0.25</v>
      </c>
      <c r="AO19" s="30">
        <f>100%-AN19</f>
        <v>0.75</v>
      </c>
    </row>
    <row r="20" spans="1:49" ht="25.5" customHeight="1">
      <c r="B20" s="384" t="s">
        <v>139</v>
      </c>
      <c r="C20" s="384"/>
      <c r="D20" s="188">
        <f>P20-X20</f>
        <v>67.319999999999993</v>
      </c>
      <c r="E20" s="188">
        <f>X20</f>
        <v>201.96000000000004</v>
      </c>
      <c r="F20" s="188">
        <f t="shared" si="16"/>
        <v>5.372136000000001E-2</v>
      </c>
      <c r="G20" s="188">
        <f t="shared" si="16"/>
        <v>4.7460600000000006E-2</v>
      </c>
      <c r="H20" s="188">
        <f t="shared" si="16"/>
        <v>25.242307200000003</v>
      </c>
      <c r="I20" s="208">
        <f t="shared" si="16"/>
        <v>7.0686000000000021E-5</v>
      </c>
      <c r="J20" s="188">
        <f t="shared" si="16"/>
        <v>0.24013044000000003</v>
      </c>
      <c r="K20" s="188">
        <f t="shared" si="16"/>
        <v>2.4167880000000003E-2</v>
      </c>
      <c r="L20" s="188">
        <f t="shared" si="16"/>
        <v>1.1888281152000002</v>
      </c>
      <c r="M20" s="25"/>
      <c r="N20" s="132">
        <f>'Efekt ekologiczny 2016-2020'!N50</f>
        <v>89.76</v>
      </c>
      <c r="O20" s="29">
        <v>3</v>
      </c>
      <c r="P20" s="29">
        <f>N20*O20</f>
        <v>269.28000000000003</v>
      </c>
      <c r="Q20" s="29">
        <f>$P$20*'Wskażniki emisji'!B11/1000000</f>
        <v>6.058800000000001E-2</v>
      </c>
      <c r="R20" s="29">
        <f>$P$20*'Wskażniki emisji'!C11/1000000</f>
        <v>5.4125280000000005E-2</v>
      </c>
      <c r="S20" s="29">
        <f>$P$20*'Wskażniki emisji'!D11/1000000</f>
        <v>25.242307200000003</v>
      </c>
      <c r="T20" s="29">
        <f>$P$20*'Wskażniki emisji'!E11/1000000</f>
        <v>7.2705600000000018E-5</v>
      </c>
      <c r="U20" s="29">
        <f>$P$20*'Wskażniki emisji'!F11/1000000</f>
        <v>0.24235200000000004</v>
      </c>
      <c r="V20" s="29">
        <f>$P$20*'Wskażniki emisji'!G11/1000000</f>
        <v>4.2546240000000006E-2</v>
      </c>
      <c r="W20" s="29">
        <f>$P$20*'Wskażniki emisji'!H11/1000000</f>
        <v>1.2386880000000002</v>
      </c>
      <c r="X20" s="29">
        <f>(1-AN20)*P20</f>
        <v>201.96000000000004</v>
      </c>
      <c r="Y20" s="29">
        <f>$X$20*'Wskażniki emisji'!B15/1000000</f>
        <v>6.8666400000000011E-3</v>
      </c>
      <c r="Z20" s="29">
        <f>$X$20*'Wskażniki emisji'!C15/1000000</f>
        <v>6.664680000000001E-3</v>
      </c>
      <c r="AA20" s="29">
        <f>$X$20*'Wskażniki emisji'!D15/1000000</f>
        <v>0</v>
      </c>
      <c r="AB20" s="29">
        <f>$X$20*'Wskażniki emisji'!E15/1000000</f>
        <v>2.0196000000000005E-6</v>
      </c>
      <c r="AC20" s="29">
        <f>$X$20*'Wskażniki emisji'!F15/1000000</f>
        <v>2.2215600000000005E-3</v>
      </c>
      <c r="AD20" s="29">
        <f>$X$20*'Wskażniki emisji'!G15/1000000</f>
        <v>1.8378360000000003E-2</v>
      </c>
      <c r="AE20" s="29">
        <f>$X$20*'Wskażniki emisji'!H15/1000000</f>
        <v>4.9859884800000004E-2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4">
        <v>0</v>
      </c>
      <c r="AM20" s="24">
        <v>0.25</v>
      </c>
      <c r="AN20" s="24">
        <f>100%-(100%-AG20)*(100%-AH20)*(100%-AI20)*(100%-AJ20)*(100%-AK20)*(100%-AL20)*(100%-AM20)</f>
        <v>0.25</v>
      </c>
      <c r="AO20" s="30">
        <f>100%-AN20</f>
        <v>0.75</v>
      </c>
    </row>
    <row r="21" spans="1:49" ht="25.5" hidden="1" customHeight="1">
      <c r="B21" s="384" t="s">
        <v>140</v>
      </c>
      <c r="C21" s="384"/>
      <c r="D21" s="29">
        <f>P21-X21</f>
        <v>0</v>
      </c>
      <c r="E21" s="29">
        <v>0</v>
      </c>
      <c r="F21" s="29">
        <f t="shared" si="16"/>
        <v>0</v>
      </c>
      <c r="G21" s="29">
        <f t="shared" si="16"/>
        <v>0</v>
      </c>
      <c r="H21" s="29">
        <f t="shared" si="16"/>
        <v>0</v>
      </c>
      <c r="I21" s="147">
        <f t="shared" si="16"/>
        <v>0</v>
      </c>
      <c r="J21" s="29">
        <f t="shared" si="16"/>
        <v>0</v>
      </c>
      <c r="K21" s="29">
        <f t="shared" si="16"/>
        <v>0</v>
      </c>
      <c r="L21" s="29">
        <f t="shared" si="16"/>
        <v>0</v>
      </c>
      <c r="M21" s="25"/>
      <c r="N21" s="29">
        <f>N20</f>
        <v>89.76</v>
      </c>
      <c r="O21" s="29"/>
      <c r="P21" s="29">
        <f>N21*O21</f>
        <v>0</v>
      </c>
      <c r="Q21" s="29">
        <f>$P$21*'Wskażniki emisji'!B11/1000000</f>
        <v>0</v>
      </c>
      <c r="R21" s="29">
        <f>$P$21*'Wskażniki emisji'!C11/1000000</f>
        <v>0</v>
      </c>
      <c r="S21" s="29">
        <f>$P$21*'Wskażniki emisji'!D11/1000000</f>
        <v>0</v>
      </c>
      <c r="T21" s="29">
        <f>$P$21*'Wskażniki emisji'!E11/1000000</f>
        <v>0</v>
      </c>
      <c r="U21" s="29">
        <f>$P$21*'Wskażniki emisji'!F11/1000000</f>
        <v>0</v>
      </c>
      <c r="V21" s="29">
        <f>$P$21*'Wskażniki emisji'!G11/1000000</f>
        <v>0</v>
      </c>
      <c r="W21" s="29">
        <f>$P$21*'Wskażniki emisji'!H11/1000000</f>
        <v>0</v>
      </c>
      <c r="X21" s="29">
        <f>(1-AN21)*P21</f>
        <v>0</v>
      </c>
      <c r="Y21" s="29">
        <f>$X$21*'Wskażniki emisji'!B5/1000000</f>
        <v>0</v>
      </c>
      <c r="Z21" s="29">
        <f>$X$21*'Wskażniki emisji'!C5/1000000</f>
        <v>0</v>
      </c>
      <c r="AA21" s="29">
        <f>$X$21*'Wskażniki emisji'!D5/1000000</f>
        <v>0</v>
      </c>
      <c r="AB21" s="29">
        <f>$X$21*'Wskażniki emisji'!E5/1000000</f>
        <v>0</v>
      </c>
      <c r="AC21" s="29">
        <f>$X$21*'Wskażniki emisji'!F5/1000000</f>
        <v>0</v>
      </c>
      <c r="AD21" s="29">
        <f>$X$21*'Wskażniki emisji'!G5/1000000</f>
        <v>0</v>
      </c>
      <c r="AE21" s="29">
        <f>$X$21*'Wskażniki emisji'!H5/1000000</f>
        <v>0</v>
      </c>
      <c r="AG21" s="24">
        <v>0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0.3</v>
      </c>
      <c r="AN21" s="24">
        <f>100%-(100%-AG21)*(100%-AH21)*(100%-AI21)*(100%-AJ21)*(100%-AK21)*(100%-AL21)*(100%-AM21)</f>
        <v>0.30000000000000004</v>
      </c>
      <c r="AO21" s="30">
        <f>100%-AN21</f>
        <v>0.7</v>
      </c>
    </row>
    <row r="22" spans="1:49" ht="25.5" hidden="1" customHeight="1">
      <c r="B22" s="384" t="s">
        <v>48</v>
      </c>
      <c r="C22" s="384"/>
      <c r="D22" s="29">
        <f>P22-X22</f>
        <v>0</v>
      </c>
      <c r="E22" s="29">
        <v>0</v>
      </c>
      <c r="F22" s="29">
        <f t="shared" ref="F22:F23" si="17">Q22-Y22</f>
        <v>0</v>
      </c>
      <c r="G22" s="29">
        <f t="shared" ref="G22:G23" si="18">R22-Z22</f>
        <v>0</v>
      </c>
      <c r="H22" s="29">
        <f t="shared" ref="H22:H23" si="19">S22-AA22</f>
        <v>0</v>
      </c>
      <c r="I22" s="147">
        <f t="shared" ref="I22:I23" si="20">T22-AB22</f>
        <v>0</v>
      </c>
      <c r="J22" s="29">
        <f t="shared" ref="J22:J23" si="21">U22-AC22</f>
        <v>0</v>
      </c>
      <c r="K22" s="29">
        <f t="shared" ref="K22:K23" si="22">V22-AD22</f>
        <v>0</v>
      </c>
      <c r="L22" s="29">
        <f t="shared" ref="L22:L23" si="23">W22-AE22</f>
        <v>0</v>
      </c>
      <c r="M22" s="25"/>
      <c r="N22" s="29">
        <f>N21</f>
        <v>89.76</v>
      </c>
      <c r="O22" s="29"/>
      <c r="P22" s="29">
        <f>N22*O22</f>
        <v>0</v>
      </c>
      <c r="Q22" s="29">
        <f>$P$22*'Wskażniki emisji'!B11/1000000</f>
        <v>0</v>
      </c>
      <c r="R22" s="29">
        <f>$P$22*'Wskażniki emisji'!C11/1000000</f>
        <v>0</v>
      </c>
      <c r="S22" s="29">
        <f>$P$22*'Wskażniki emisji'!D11/1000000</f>
        <v>0</v>
      </c>
      <c r="T22" s="29">
        <f>$P$22*'Wskażniki emisji'!E11/1000000</f>
        <v>0</v>
      </c>
      <c r="U22" s="29">
        <f>$P$22*'Wskażniki emisji'!F11/1000000</f>
        <v>0</v>
      </c>
      <c r="V22" s="29">
        <f>$P$22*'Wskażniki emisji'!G11/1000000</f>
        <v>0</v>
      </c>
      <c r="W22" s="29">
        <f>$P$22*'Wskażniki emisji'!H11/1000000</f>
        <v>0</v>
      </c>
      <c r="X22" s="29">
        <f t="shared" ref="X22:X23" si="24">(1-AN22)*P22</f>
        <v>0</v>
      </c>
      <c r="Y22" s="29">
        <f>$X$22*'Wskażniki emisji'!B11/1000000</f>
        <v>0</v>
      </c>
      <c r="Z22" s="29">
        <f>$X$22*'Wskażniki emisji'!C11/1000000</f>
        <v>0</v>
      </c>
      <c r="AA22" s="29">
        <f>$X$22*'Wskażniki emisji'!D11/1000000</f>
        <v>0</v>
      </c>
      <c r="AB22" s="29">
        <f>$X$22*'Wskażniki emisji'!E11/1000000</f>
        <v>0</v>
      </c>
      <c r="AC22" s="29">
        <f>$X$22*'Wskażniki emisji'!F11/1000000</f>
        <v>0</v>
      </c>
      <c r="AD22" s="29">
        <f>$X$22*'Wskażniki emisji'!G11/1000000</f>
        <v>0</v>
      </c>
      <c r="AE22" s="29">
        <f>$X$22*'Wskażniki emisji'!H11/1000000</f>
        <v>0</v>
      </c>
      <c r="AG22" s="24">
        <v>0.12</v>
      </c>
      <c r="AH22" s="24">
        <v>0.15</v>
      </c>
      <c r="AI22" s="24">
        <v>0.03</v>
      </c>
      <c r="AJ22" s="24">
        <v>0.13</v>
      </c>
      <c r="AK22" s="24">
        <v>0.05</v>
      </c>
      <c r="AL22" s="24">
        <v>0</v>
      </c>
      <c r="AM22" s="24">
        <v>0</v>
      </c>
      <c r="AN22" s="24">
        <f t="shared" ref="AN22:AN23" si="25">100%-(100%-AG22)*(100%-AH22)*(100%-AI22)*(100%-AJ22)*(100%-AK22)*(100%-AL22)*(100%-AM22)</f>
        <v>0.40032466000000011</v>
      </c>
      <c r="AO22" s="30">
        <f t="shared" ref="AO22:AO23" si="26">100%-AN22</f>
        <v>0.59967533999999989</v>
      </c>
    </row>
    <row r="23" spans="1:49" ht="25.5" hidden="1" customHeight="1">
      <c r="B23" s="384" t="s">
        <v>158</v>
      </c>
      <c r="C23" s="384"/>
      <c r="D23" s="29">
        <f t="shared" ref="D23" si="27">P23-X23</f>
        <v>0</v>
      </c>
      <c r="E23" s="29">
        <v>0</v>
      </c>
      <c r="F23" s="29">
        <f t="shared" si="17"/>
        <v>0</v>
      </c>
      <c r="G23" s="29">
        <f t="shared" si="18"/>
        <v>0</v>
      </c>
      <c r="H23" s="29">
        <f t="shared" si="19"/>
        <v>0</v>
      </c>
      <c r="I23" s="147">
        <f t="shared" si="20"/>
        <v>0</v>
      </c>
      <c r="J23" s="29">
        <f t="shared" si="21"/>
        <v>0</v>
      </c>
      <c r="K23" s="29">
        <f t="shared" si="22"/>
        <v>0</v>
      </c>
      <c r="L23" s="29">
        <f t="shared" si="23"/>
        <v>0</v>
      </c>
      <c r="M23" s="25"/>
      <c r="N23" s="29">
        <f>N22</f>
        <v>89.76</v>
      </c>
      <c r="O23" s="29"/>
      <c r="P23" s="29">
        <f>N23*O23</f>
        <v>0</v>
      </c>
      <c r="Q23" s="29">
        <f>$P$23*'Wskażniki emisji'!B11/1000000</f>
        <v>0</v>
      </c>
      <c r="R23" s="29">
        <f>$P$23*'Wskażniki emisji'!C11/1000000</f>
        <v>0</v>
      </c>
      <c r="S23" s="29">
        <f>$P$23*'Wskażniki emisji'!D11/1000000</f>
        <v>0</v>
      </c>
      <c r="T23" s="29">
        <f>$P$23*'Wskażniki emisji'!E11/1000000</f>
        <v>0</v>
      </c>
      <c r="U23" s="29">
        <f>$P$23*'Wskażniki emisji'!F11/1000000</f>
        <v>0</v>
      </c>
      <c r="V23" s="29">
        <f>$P$23*'Wskażniki emisji'!G11/1000000</f>
        <v>0</v>
      </c>
      <c r="W23" s="29">
        <f>$P$23*'Wskażniki emisji'!H11/1000000</f>
        <v>0</v>
      </c>
      <c r="X23" s="29">
        <f t="shared" si="24"/>
        <v>0</v>
      </c>
      <c r="Y23" s="29">
        <f>$X$23*'Wskażniki emisji'!B5/1000000</f>
        <v>0</v>
      </c>
      <c r="Z23" s="29">
        <f>$X$23*'Wskażniki emisji'!C5/1000000</f>
        <v>0</v>
      </c>
      <c r="AA23" s="29">
        <f>$X$23*'Wskażniki emisji'!D5/1000000</f>
        <v>0</v>
      </c>
      <c r="AB23" s="29">
        <f>$X$23*'Wskażniki emisji'!E5/1000000</f>
        <v>0</v>
      </c>
      <c r="AC23" s="29">
        <f>$X$23*'Wskażniki emisji'!F5/1000000</f>
        <v>0</v>
      </c>
      <c r="AD23" s="29">
        <f>$X$23*'Wskażniki emisji'!G5/1000000</f>
        <v>0</v>
      </c>
      <c r="AE23" s="29">
        <f>$X$23*'Wskażniki emisji'!H5/1000000</f>
        <v>0</v>
      </c>
      <c r="AG23" s="24">
        <v>0.12</v>
      </c>
      <c r="AH23" s="24">
        <v>0.15</v>
      </c>
      <c r="AI23" s="24">
        <v>0.03</v>
      </c>
      <c r="AJ23" s="24">
        <v>0.13</v>
      </c>
      <c r="AK23" s="24">
        <v>0.1</v>
      </c>
      <c r="AL23" s="24">
        <v>0.13</v>
      </c>
      <c r="AM23" s="24">
        <v>0.3</v>
      </c>
      <c r="AN23" s="24">
        <f t="shared" si="25"/>
        <v>0.65401889068000008</v>
      </c>
      <c r="AO23" s="30">
        <f t="shared" si="26"/>
        <v>0.34598110931999992</v>
      </c>
    </row>
    <row r="24" spans="1:49" ht="25.5" hidden="1" customHeight="1">
      <c r="B24" s="384" t="s">
        <v>144</v>
      </c>
      <c r="C24" s="384"/>
      <c r="D24" s="29">
        <f>P24-X24</f>
        <v>0</v>
      </c>
      <c r="E24" s="29">
        <f>X24</f>
        <v>0</v>
      </c>
      <c r="F24" s="29">
        <f t="shared" si="16"/>
        <v>0</v>
      </c>
      <c r="G24" s="29">
        <f t="shared" si="16"/>
        <v>0</v>
      </c>
      <c r="H24" s="29">
        <f t="shared" si="16"/>
        <v>0</v>
      </c>
      <c r="I24" s="29">
        <f t="shared" si="16"/>
        <v>0</v>
      </c>
      <c r="J24" s="29">
        <f t="shared" si="16"/>
        <v>0</v>
      </c>
      <c r="K24" s="29">
        <f t="shared" si="16"/>
        <v>0</v>
      </c>
      <c r="L24" s="29">
        <f t="shared" si="16"/>
        <v>0</v>
      </c>
      <c r="M24" s="25"/>
      <c r="N24" s="29">
        <v>12</v>
      </c>
      <c r="O24" s="29"/>
      <c r="P24" s="29">
        <f>O24*1.25*3.6</f>
        <v>0</v>
      </c>
      <c r="Q24" s="29">
        <f>$P$24*'Wskażniki emisji'!B11/1000000</f>
        <v>0</v>
      </c>
      <c r="R24" s="29">
        <f>$P$24*'Wskażniki emisji'!C11/1000000</f>
        <v>0</v>
      </c>
      <c r="S24" s="29">
        <f>$P$24*'Wskażniki emisji'!D11/1000000</f>
        <v>0</v>
      </c>
      <c r="T24" s="29">
        <f>$P$24*'Wskażniki emisji'!E11/1000000</f>
        <v>0</v>
      </c>
      <c r="U24" s="29">
        <f>$P$24*'Wskażniki emisji'!F11/1000000</f>
        <v>0</v>
      </c>
      <c r="V24" s="29">
        <f>$P$24*'Wskażniki emisji'!G11/1000000</f>
        <v>0</v>
      </c>
      <c r="W24" s="29">
        <f>$P$24*'Wskażniki emisji'!H11/1000000</f>
        <v>0</v>
      </c>
      <c r="X24" s="29">
        <f>(1-AN24)*P24</f>
        <v>0</v>
      </c>
      <c r="Y24" s="29">
        <v>0</v>
      </c>
      <c r="Z24" s="29">
        <v>0</v>
      </c>
      <c r="AA24" s="29">
        <v>0</v>
      </c>
      <c r="AB24" s="29">
        <v>0</v>
      </c>
      <c r="AC24" s="29">
        <v>0</v>
      </c>
      <c r="AD24" s="29">
        <v>0</v>
      </c>
      <c r="AE24" s="29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f>100%-(100%-AG24)*(100%-AH24)*(100%-AI24)*(100%-AJ24)*(100%-AK24)*(100%-AL24)*(100%-AM24)</f>
        <v>0</v>
      </c>
      <c r="AO24" s="30">
        <f>100%-AN24</f>
        <v>1</v>
      </c>
    </row>
    <row r="25" spans="1:49" ht="25.5" hidden="1" customHeight="1">
      <c r="B25" s="384" t="s">
        <v>145</v>
      </c>
      <c r="C25" s="384"/>
      <c r="D25" s="29">
        <v>0</v>
      </c>
      <c r="E25" s="29">
        <f>P25</f>
        <v>0</v>
      </c>
      <c r="F25" s="29">
        <f t="shared" ref="F25:F26" si="28">Q25-Y25</f>
        <v>0</v>
      </c>
      <c r="G25" s="29">
        <f t="shared" ref="G25:L26" si="29">R25-Z25</f>
        <v>0</v>
      </c>
      <c r="H25" s="29">
        <f t="shared" si="29"/>
        <v>0</v>
      </c>
      <c r="I25" s="29">
        <f t="shared" si="29"/>
        <v>0</v>
      </c>
      <c r="J25" s="29">
        <f t="shared" si="29"/>
        <v>0</v>
      </c>
      <c r="K25" s="29">
        <f t="shared" si="29"/>
        <v>0</v>
      </c>
      <c r="L25" s="29">
        <f t="shared" si="29"/>
        <v>0</v>
      </c>
      <c r="M25" s="25"/>
      <c r="N25" s="29"/>
      <c r="O25" s="29"/>
      <c r="P25" s="29">
        <f>O25*1*3.6</f>
        <v>0</v>
      </c>
      <c r="Q25" s="29"/>
      <c r="R25" s="29"/>
      <c r="S25" s="29">
        <f>P25/3.6*'Wskażniki emisji'!B17</f>
        <v>0</v>
      </c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/>
      <c r="AN25" s="24">
        <f>100%-(100%-AG25)*(100%-AH25)*(100%-AI25)*(100%-AJ25)*(100%-AK25)*(100%-AL25)*(100%-AM25)</f>
        <v>0</v>
      </c>
      <c r="AO25" s="30">
        <f>100%-AN25</f>
        <v>1</v>
      </c>
    </row>
    <row r="26" spans="1:49" ht="25.5" hidden="1" customHeight="1">
      <c r="B26" s="384" t="s">
        <v>146</v>
      </c>
      <c r="C26" s="384"/>
      <c r="D26" s="29">
        <v>0</v>
      </c>
      <c r="E26" s="29">
        <f>P26</f>
        <v>0</v>
      </c>
      <c r="F26" s="29">
        <f t="shared" si="28"/>
        <v>0</v>
      </c>
      <c r="G26" s="29">
        <f t="shared" si="29"/>
        <v>0</v>
      </c>
      <c r="H26" s="29">
        <f t="shared" si="29"/>
        <v>0</v>
      </c>
      <c r="I26" s="29">
        <f t="shared" si="29"/>
        <v>0</v>
      </c>
      <c r="J26" s="29">
        <f t="shared" si="29"/>
        <v>0</v>
      </c>
      <c r="K26" s="29">
        <f t="shared" si="29"/>
        <v>0</v>
      </c>
      <c r="L26" s="29">
        <f t="shared" si="29"/>
        <v>0</v>
      </c>
      <c r="M26" s="25"/>
      <c r="N26" s="25"/>
      <c r="O26" s="29"/>
      <c r="P26" s="29">
        <f>O26*525*3.6/1000</f>
        <v>0</v>
      </c>
      <c r="Q26" s="29">
        <f>$P$26*'Wskażniki emisji'!B11/1000000</f>
        <v>0</v>
      </c>
      <c r="R26" s="29">
        <f>$P$26*'Wskażniki emisji'!C11/1000000</f>
        <v>0</v>
      </c>
      <c r="S26" s="29">
        <f>$P$26*'Wskażniki emisji'!D11/1000000</f>
        <v>0</v>
      </c>
      <c r="T26" s="29">
        <f>$P$26*'Wskażniki emisji'!E11/1000000</f>
        <v>0</v>
      </c>
      <c r="U26" s="29">
        <f>$P$26*'Wskażniki emisji'!F11/1000000</f>
        <v>0</v>
      </c>
      <c r="V26" s="29">
        <f>$P$26*'Wskażniki emisji'!G11/1000000</f>
        <v>0</v>
      </c>
      <c r="W26" s="29">
        <f>$P$26*'Wskażniki emisji'!H11/1000000</f>
        <v>0</v>
      </c>
      <c r="X26" s="25"/>
      <c r="Y26" s="25"/>
      <c r="Z26" s="25"/>
      <c r="AA26" s="25"/>
      <c r="AB26" s="25"/>
      <c r="AC26" s="25"/>
      <c r="AD26" s="25"/>
      <c r="AE26" s="25"/>
    </row>
    <row r="27" spans="1:49">
      <c r="B27" s="164"/>
      <c r="C27" s="165" t="s">
        <v>99</v>
      </c>
      <c r="D27" s="29">
        <f>SUM(D19:D26)</f>
        <v>67.319999999999993</v>
      </c>
      <c r="E27" s="29">
        <f t="shared" ref="E27:L27" si="30">SUM(E19:E26)</f>
        <v>201.96000000000004</v>
      </c>
      <c r="F27" s="29">
        <f t="shared" si="30"/>
        <v>5.372136000000001E-2</v>
      </c>
      <c r="G27" s="29">
        <f t="shared" si="30"/>
        <v>4.7460600000000006E-2</v>
      </c>
      <c r="H27" s="29">
        <f t="shared" si="30"/>
        <v>25.242307200000003</v>
      </c>
      <c r="I27" s="29">
        <f t="shared" si="30"/>
        <v>7.0686000000000021E-5</v>
      </c>
      <c r="J27" s="29">
        <f t="shared" si="30"/>
        <v>0.24013044000000003</v>
      </c>
      <c r="K27" s="29">
        <f t="shared" si="30"/>
        <v>2.4167880000000003E-2</v>
      </c>
      <c r="L27" s="29">
        <f t="shared" si="30"/>
        <v>1.1888281152000002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49">
      <c r="B28" s="385" t="s">
        <v>132</v>
      </c>
      <c r="C28" s="386"/>
      <c r="D28" s="26">
        <f t="shared" ref="D28:L28" si="31">D27+D16</f>
        <v>493.71460981988258</v>
      </c>
      <c r="E28" s="26">
        <f t="shared" si="31"/>
        <v>940.25600000000009</v>
      </c>
      <c r="F28" s="26">
        <f t="shared" si="31"/>
        <v>5.3919648694555726E-2</v>
      </c>
      <c r="G28" s="26">
        <f t="shared" si="31"/>
        <v>4.7658888694555722E-2</v>
      </c>
      <c r="H28" s="26">
        <f t="shared" si="31"/>
        <v>598.14065040852324</v>
      </c>
      <c r="I28" s="28">
        <f t="shared" si="31"/>
        <v>7.0686000000000021E-5</v>
      </c>
      <c r="J28" s="26">
        <f t="shared" si="31"/>
        <v>0.24032872869455574</v>
      </c>
      <c r="K28" s="26">
        <f t="shared" si="31"/>
        <v>4.399674945557179E-2</v>
      </c>
      <c r="L28" s="26">
        <f t="shared" si="31"/>
        <v>1.1941055327475327</v>
      </c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G28"/>
      <c r="AH28"/>
      <c r="AI28"/>
      <c r="AJ28"/>
      <c r="AK28"/>
      <c r="AL28"/>
      <c r="AM28"/>
      <c r="AN28"/>
      <c r="AP28"/>
      <c r="AQ28"/>
      <c r="AR28"/>
      <c r="AS28"/>
      <c r="AT28"/>
      <c r="AU28"/>
      <c r="AV28"/>
      <c r="AW28"/>
    </row>
    <row r="29" spans="1:49" ht="15" customHeight="1">
      <c r="C29"/>
      <c r="D29" s="13"/>
      <c r="I29" s="148"/>
      <c r="M29" s="25"/>
      <c r="N29" s="25"/>
      <c r="O29" s="25"/>
      <c r="P29" s="27"/>
      <c r="AG29"/>
      <c r="AH29"/>
      <c r="AI29"/>
      <c r="AJ29"/>
      <c r="AK29"/>
      <c r="AL29"/>
      <c r="AM29"/>
      <c r="AN29"/>
      <c r="AP29"/>
      <c r="AQ29"/>
      <c r="AR29"/>
      <c r="AS29"/>
      <c r="AT29"/>
      <c r="AU29"/>
      <c r="AV29"/>
      <c r="AW29"/>
    </row>
    <row r="30" spans="1:49" ht="14.4">
      <c r="B30" s="387" t="s">
        <v>104</v>
      </c>
      <c r="C30" s="388"/>
      <c r="D30" s="388"/>
      <c r="E30" s="388"/>
      <c r="F30" s="388"/>
      <c r="G30" s="388"/>
      <c r="H30" s="388"/>
      <c r="I30" s="388"/>
      <c r="J30" s="388"/>
      <c r="K30" s="388"/>
      <c r="L30" s="389"/>
      <c r="M30" s="25"/>
      <c r="N30" s="25"/>
      <c r="O30" s="25"/>
      <c r="P30" s="27"/>
      <c r="AG30"/>
      <c r="AH30"/>
      <c r="AI30"/>
      <c r="AJ30"/>
      <c r="AK30"/>
      <c r="AL30"/>
      <c r="AM30"/>
      <c r="AN30"/>
      <c r="AP30"/>
      <c r="AQ30"/>
      <c r="AR30"/>
      <c r="AS30"/>
      <c r="AT30"/>
      <c r="AU30"/>
      <c r="AV30"/>
      <c r="AW30"/>
    </row>
    <row r="31" spans="1:49" ht="29.25" customHeight="1">
      <c r="B31" s="378" t="s">
        <v>105</v>
      </c>
      <c r="C31" s="378"/>
      <c r="D31" s="378" t="s">
        <v>106</v>
      </c>
      <c r="E31" s="378" t="s">
        <v>107</v>
      </c>
      <c r="F31" s="379" t="s">
        <v>108</v>
      </c>
      <c r="G31" s="379"/>
      <c r="H31" s="379"/>
      <c r="I31" s="379"/>
      <c r="J31" s="379"/>
      <c r="K31" s="379"/>
      <c r="L31" s="379"/>
      <c r="M31" s="25"/>
      <c r="N31" s="181" t="s">
        <v>177</v>
      </c>
      <c r="O31" s="182" t="s">
        <v>178</v>
      </c>
      <c r="P31" s="182" t="s">
        <v>179</v>
      </c>
      <c r="Q31" s="182" t="s">
        <v>180</v>
      </c>
      <c r="R31" s="182" t="s">
        <v>181</v>
      </c>
      <c r="S31" s="182" t="s">
        <v>182</v>
      </c>
      <c r="AG31"/>
      <c r="AH31" s="183">
        <v>0.15</v>
      </c>
      <c r="AI31"/>
      <c r="AJ31"/>
      <c r="AK31"/>
      <c r="AL31"/>
      <c r="AM31"/>
      <c r="AN31"/>
      <c r="AP31"/>
      <c r="AQ31"/>
      <c r="AR31"/>
      <c r="AS31"/>
      <c r="AT31"/>
      <c r="AU31"/>
      <c r="AV31"/>
      <c r="AW31"/>
    </row>
    <row r="32" spans="1:49" ht="39" customHeight="1">
      <c r="A32" s="2"/>
      <c r="B32" s="378"/>
      <c r="C32" s="378"/>
      <c r="D32" s="378"/>
      <c r="E32" s="378"/>
      <c r="F32" s="37" t="s">
        <v>12</v>
      </c>
      <c r="G32" s="37" t="s">
        <v>13</v>
      </c>
      <c r="H32" s="36" t="s">
        <v>18</v>
      </c>
      <c r="I32" s="37" t="s">
        <v>14</v>
      </c>
      <c r="J32" s="37" t="s">
        <v>22</v>
      </c>
      <c r="K32" s="37" t="s">
        <v>19</v>
      </c>
      <c r="L32" s="37" t="s">
        <v>15</v>
      </c>
      <c r="M32" s="25"/>
      <c r="N32" s="132">
        <f>303.97/734</f>
        <v>0.41412806539509539</v>
      </c>
      <c r="O32" s="29">
        <v>20</v>
      </c>
      <c r="P32" s="29" t="s">
        <v>183</v>
      </c>
      <c r="Q32" s="29">
        <v>0.6</v>
      </c>
      <c r="R32" s="29">
        <f>O32*N32</f>
        <v>8.2825613079019078</v>
      </c>
      <c r="S32" s="29">
        <f>Q32*R32</f>
        <v>4.9695367847411447</v>
      </c>
      <c r="AG32"/>
      <c r="AH32"/>
      <c r="AI32"/>
      <c r="AJ32"/>
      <c r="AK32"/>
      <c r="AL32"/>
      <c r="AM32"/>
      <c r="AN32"/>
      <c r="AP32"/>
      <c r="AQ32"/>
      <c r="AR32"/>
      <c r="AS32"/>
      <c r="AT32"/>
      <c r="AU32"/>
      <c r="AV32"/>
      <c r="AW32"/>
    </row>
    <row r="33" spans="2:49">
      <c r="B33" s="380" t="str">
        <f>'Efekt ekologiczny 2016-2020'!B44</f>
        <v>Wartości w roku bazowym</v>
      </c>
      <c r="C33" s="380"/>
      <c r="D33" s="180">
        <f>'Efekt ekologiczny 2016-2020'!D44</f>
        <v>384884.3211744834</v>
      </c>
      <c r="E33" s="180">
        <f>'Efekt ekologiczny 2016-2020'!E44</f>
        <v>564</v>
      </c>
      <c r="F33" s="180">
        <f>'Efekt ekologiczny 2016-2020'!F44</f>
        <v>49.55137386143727</v>
      </c>
      <c r="G33" s="180">
        <f>'Efekt ekologiczny 2016-2020'!G44</f>
        <v>46.439120105535359</v>
      </c>
      <c r="H33" s="180">
        <f>'Efekt ekologiczny 2016-2020'!H44</f>
        <v>31057.228443814525</v>
      </c>
      <c r="I33" s="180">
        <f>'Efekt ekologiczny 2016-2020'!I44</f>
        <v>3.546078137521208E-2</v>
      </c>
      <c r="J33" s="180">
        <f>'Efekt ekologiczny 2016-2020'!J44</f>
        <v>98.328027551065702</v>
      </c>
      <c r="K33" s="180">
        <f>'Efekt ekologiczny 2016-2020'!K44</f>
        <v>82.011753576646697</v>
      </c>
      <c r="L33" s="180">
        <f>'Efekt ekologiczny 2016-2020'!L44</f>
        <v>462.97078419400407</v>
      </c>
      <c r="M33" s="25"/>
      <c r="N33" s="25"/>
      <c r="O33" s="25"/>
      <c r="P33" s="27"/>
    </row>
    <row r="34" spans="2:49" ht="44.25" customHeight="1">
      <c r="B34" s="381" t="s">
        <v>223</v>
      </c>
      <c r="C34" s="382"/>
      <c r="D34" s="26">
        <f>D33-D28-'Efekt ekologiczny 2016-2020'!D31</f>
        <v>378576.12034341646</v>
      </c>
      <c r="E34" s="26">
        <f>E28+E33+'Efekt ekologiczny 2016-2020'!E31</f>
        <v>1539.8240000000001</v>
      </c>
      <c r="F34" s="26">
        <f>F33-F28-'Efekt ekologiczny 2016-2020'!F31</f>
        <v>47.29658296293465</v>
      </c>
      <c r="G34" s="26">
        <f>G33-G28-'Efekt ekologiczny 2016-2020'!G31</f>
        <v>44.426974722232728</v>
      </c>
      <c r="H34" s="26">
        <f>H33-H28-'Efekt ekologiczny 2016-2020'!H31</f>
        <v>29784.697778880844</v>
      </c>
      <c r="I34" s="26">
        <f>I33-I28-'Efekt ekologiczny 2016-2020'!I31</f>
        <v>3.232683945310328E-2</v>
      </c>
      <c r="J34" s="26">
        <f>J33-J28-'Efekt ekologiczny 2016-2020'!J31</f>
        <v>89.961634788723075</v>
      </c>
      <c r="K34" s="26">
        <f>K33-K28-'Efekt ekologiczny 2016-2020'!K31</f>
        <v>80.990424626416029</v>
      </c>
      <c r="L34" s="26">
        <f>L33-L28-'Efekt ekologiczny 2016-2020'!L31</f>
        <v>409.94065696850345</v>
      </c>
      <c r="N34" s="25"/>
      <c r="O34" s="25"/>
      <c r="P34" s="27"/>
    </row>
    <row r="35" spans="2:49" s="204" customFormat="1" ht="15" customHeight="1">
      <c r="B35" s="396" t="s">
        <v>201</v>
      </c>
      <c r="C35" s="397"/>
      <c r="D35" s="200">
        <f>D33-D28-'Efekt ekologiczny 2016-2020'!D31</f>
        <v>378576.12034341646</v>
      </c>
      <c r="E35" s="200">
        <f>E28+E33+'Efekt ekologiczny 2016-2020'!E31</f>
        <v>1539.8240000000001</v>
      </c>
      <c r="F35" s="200">
        <f>F33-F28-'Efekt ekologiczny 2016-2020'!F31</f>
        <v>47.29658296293465</v>
      </c>
      <c r="G35" s="200">
        <f>G33-G28-'Efekt ekologiczny 2016-2020'!G31</f>
        <v>44.426974722232728</v>
      </c>
      <c r="H35" s="200">
        <f>H33-H28-'Efekt ekologiczny 2016-2020'!H31</f>
        <v>29784.697778880844</v>
      </c>
      <c r="I35" s="200">
        <f>I33-I28-'Efekt ekologiczny 2016-2020'!I31</f>
        <v>3.232683945310328E-2</v>
      </c>
      <c r="J35" s="200">
        <f>J33-J28-'Efekt ekologiczny 2016-2020'!J31</f>
        <v>89.961634788723075</v>
      </c>
      <c r="K35" s="200">
        <f>K33-K28-'Efekt ekologiczny 2016-2020'!K31</f>
        <v>80.990424626416029</v>
      </c>
      <c r="L35" s="200">
        <f>L33-L28-'Efekt ekologiczny 2016-2020'!L31</f>
        <v>409.94065696850345</v>
      </c>
      <c r="M35" s="205"/>
      <c r="N35" s="205"/>
      <c r="O35" s="205"/>
      <c r="P35" s="206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</row>
    <row r="36" spans="2:49" ht="35.25" customHeight="1">
      <c r="B36" s="376" t="s">
        <v>224</v>
      </c>
      <c r="C36" s="377"/>
      <c r="D36" s="26">
        <f>D33-D34</f>
        <v>6308.2008310669335</v>
      </c>
      <c r="E36" s="26">
        <f>+E34-E33</f>
        <v>975.82400000000007</v>
      </c>
      <c r="F36" s="26">
        <f>F33-F34</f>
        <v>2.2547908985026197</v>
      </c>
      <c r="G36" s="26">
        <f t="shared" ref="G36:L36" si="32">G33-G34</f>
        <v>2.0121453833026308</v>
      </c>
      <c r="H36" s="26">
        <f t="shared" si="32"/>
        <v>1272.5306649336817</v>
      </c>
      <c r="I36" s="28">
        <f t="shared" si="32"/>
        <v>3.1339419221088002E-3</v>
      </c>
      <c r="J36" s="26">
        <f t="shared" si="32"/>
        <v>8.3663927623426275</v>
      </c>
      <c r="K36" s="26">
        <f t="shared" si="32"/>
        <v>1.0213289502306679</v>
      </c>
      <c r="L36" s="26">
        <f t="shared" si="32"/>
        <v>53.030127225500621</v>
      </c>
      <c r="M36" s="25"/>
      <c r="N36" s="25"/>
      <c r="O36" s="25"/>
      <c r="P36" s="27"/>
    </row>
    <row r="37" spans="2:49" s="192" customFormat="1" ht="14.25" customHeight="1">
      <c r="B37" s="396" t="s">
        <v>201</v>
      </c>
      <c r="C37" s="397"/>
      <c r="D37" s="203">
        <f>D33-D35</f>
        <v>6308.2008310669335</v>
      </c>
      <c r="E37" s="200">
        <f>E35-E33</f>
        <v>975.82400000000007</v>
      </c>
      <c r="F37" s="203">
        <f>F33-F35</f>
        <v>2.2547908985026197</v>
      </c>
      <c r="G37" s="203">
        <f t="shared" ref="G37:L37" si="33">G33-G35</f>
        <v>2.0121453833026308</v>
      </c>
      <c r="H37" s="203">
        <f t="shared" si="33"/>
        <v>1272.5306649336817</v>
      </c>
      <c r="I37" s="203">
        <f t="shared" si="33"/>
        <v>3.1339419221088002E-3</v>
      </c>
      <c r="J37" s="203">
        <f t="shared" si="33"/>
        <v>8.3663927623426275</v>
      </c>
      <c r="K37" s="203">
        <f t="shared" si="33"/>
        <v>1.0213289502306679</v>
      </c>
      <c r="L37" s="203">
        <f t="shared" si="33"/>
        <v>53.030127225500621</v>
      </c>
      <c r="M37" s="201"/>
      <c r="N37" s="201"/>
      <c r="O37" s="201"/>
      <c r="P37" s="202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</row>
    <row r="38" spans="2:49">
      <c r="B38" s="316" t="s">
        <v>191</v>
      </c>
      <c r="C38" s="391"/>
      <c r="D38" s="392"/>
      <c r="E38" s="187">
        <f>E34/D34</f>
        <v>4.0674092137749857E-3</v>
      </c>
      <c r="F38" s="393"/>
      <c r="G38" s="394"/>
      <c r="H38" s="394"/>
      <c r="I38" s="394"/>
      <c r="J38" s="394"/>
      <c r="K38" s="394"/>
      <c r="L38" s="39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</row>
    <row r="39" spans="2:49" ht="38.25" customHeight="1">
      <c r="B39" s="390" t="s">
        <v>234</v>
      </c>
      <c r="C39" s="390"/>
      <c r="D39" s="35">
        <f>D36/D33</f>
        <v>1.6389861794882454E-2</v>
      </c>
      <c r="E39" s="35">
        <f>(E34/D34)-(E33/D33)</f>
        <v>2.6020338555921918E-3</v>
      </c>
      <c r="F39" s="35">
        <f>F36/F33</f>
        <v>4.5504104584623478E-2</v>
      </c>
      <c r="G39" s="35">
        <f t="shared" ref="G39:L39" si="34">G36/G33</f>
        <v>4.3328671575385662E-2</v>
      </c>
      <c r="H39" s="35">
        <f t="shared" si="34"/>
        <v>4.0973735542300903E-2</v>
      </c>
      <c r="I39" s="35">
        <f t="shared" si="34"/>
        <v>8.8377689395741837E-2</v>
      </c>
      <c r="J39" s="35">
        <f t="shared" si="34"/>
        <v>8.5086551319232179E-2</v>
      </c>
      <c r="K39" s="35">
        <f t="shared" si="34"/>
        <v>1.2453446069485058E-2</v>
      </c>
      <c r="L39" s="35">
        <f t="shared" si="34"/>
        <v>0.11454313973142372</v>
      </c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</row>
    <row r="40" spans="2:49" ht="14.25" customHeight="1"/>
    <row r="41" spans="2:49" ht="14.25" customHeight="1"/>
    <row r="42" spans="2:49" ht="14.25" customHeight="1"/>
  </sheetData>
  <mergeCells count="53">
    <mergeCell ref="B14:C14"/>
    <mergeCell ref="BB8:BB9"/>
    <mergeCell ref="AQ8:AQ9"/>
    <mergeCell ref="AR8:AR9"/>
    <mergeCell ref="AS8:AY8"/>
    <mergeCell ref="AZ8:AZ9"/>
    <mergeCell ref="BA8:BA9"/>
    <mergeCell ref="P8:P9"/>
    <mergeCell ref="Q8:W8"/>
    <mergeCell ref="X8:X9"/>
    <mergeCell ref="Y8:AE8"/>
    <mergeCell ref="B10:L10"/>
    <mergeCell ref="B8:B9"/>
    <mergeCell ref="C8:C9"/>
    <mergeCell ref="D8:D9"/>
    <mergeCell ref="E8:E9"/>
    <mergeCell ref="Q17:W17"/>
    <mergeCell ref="Y17:AE17"/>
    <mergeCell ref="B39:C39"/>
    <mergeCell ref="B24:C24"/>
    <mergeCell ref="B25:C25"/>
    <mergeCell ref="B26:C26"/>
    <mergeCell ref="B22:C22"/>
    <mergeCell ref="B23:C23"/>
    <mergeCell ref="B38:D38"/>
    <mergeCell ref="F38:L38"/>
    <mergeCell ref="B35:C35"/>
    <mergeCell ref="B37:C37"/>
    <mergeCell ref="B16:C16"/>
    <mergeCell ref="B15:C15"/>
    <mergeCell ref="D6:L6"/>
    <mergeCell ref="B36:C36"/>
    <mergeCell ref="B31:C32"/>
    <mergeCell ref="D31:D32"/>
    <mergeCell ref="E31:E32"/>
    <mergeCell ref="F31:L31"/>
    <mergeCell ref="B33:C33"/>
    <mergeCell ref="B34:C34"/>
    <mergeCell ref="B18:L18"/>
    <mergeCell ref="B19:C19"/>
    <mergeCell ref="B20:C20"/>
    <mergeCell ref="B21:C21"/>
    <mergeCell ref="B28:C28"/>
    <mergeCell ref="B30:L30"/>
    <mergeCell ref="B13:C13"/>
    <mergeCell ref="B11:C11"/>
    <mergeCell ref="B12:C12"/>
    <mergeCell ref="B7:L7"/>
    <mergeCell ref="B1:L1"/>
    <mergeCell ref="D2:L2"/>
    <mergeCell ref="D3:L3"/>
    <mergeCell ref="D4:L4"/>
    <mergeCell ref="F8:L8"/>
  </mergeCells>
  <phoneticPr fontId="20" type="noConversion"/>
  <pageMargins left="0.7" right="0.7" top="0.75" bottom="0.75" header="0.3" footer="0.3"/>
  <pageSetup paperSize="9" scale="32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78284-28E1-4596-B64E-4DB56E81B11E}">
  <dimension ref="A1:BB50"/>
  <sheetViews>
    <sheetView tabSelected="1" zoomScale="115" zoomScaleNormal="115" zoomScaleSheetLayoutView="100" workbookViewId="0">
      <pane xSplit="1" ySplit="5" topLeftCell="B15" activePane="bottomRight" state="frozen"/>
      <selection activeCell="AF36" sqref="AF36"/>
      <selection pane="topRight" activeCell="AF36" sqref="AF36"/>
      <selection pane="bottomLeft" activeCell="AF36" sqref="AF36"/>
      <selection pane="bottomRight" activeCell="N30" sqref="N30"/>
    </sheetView>
  </sheetViews>
  <sheetFormatPr defaultColWidth="9" defaultRowHeight="13.8"/>
  <cols>
    <col min="1" max="1" width="2.5" style="210" customWidth="1"/>
    <col min="2" max="2" width="10.19921875" style="210" customWidth="1"/>
    <col min="3" max="3" width="20.59765625" style="267" customWidth="1"/>
    <col min="4" max="4" width="8.8984375" style="268" customWidth="1"/>
    <col min="5" max="5" width="8.69921875" style="210" customWidth="1"/>
    <col min="6" max="7" width="6.19921875" style="210" bestFit="1" customWidth="1"/>
    <col min="8" max="8" width="7" style="210" bestFit="1" customWidth="1"/>
    <col min="9" max="9" width="7.19921875" style="210" customWidth="1"/>
    <col min="10" max="11" width="6.19921875" style="210" bestFit="1" customWidth="1"/>
    <col min="12" max="12" width="7" style="210" customWidth="1"/>
    <col min="13" max="13" width="5.19921875" style="210" customWidth="1"/>
    <col min="14" max="14" width="12.5" style="210" customWidth="1"/>
    <col min="15" max="15" width="6.8984375" style="210" customWidth="1"/>
    <col min="16" max="16" width="12.69921875" style="210" customWidth="1"/>
    <col min="17" max="17" width="7.3984375" style="210" bestFit="1" customWidth="1"/>
    <col min="18" max="18" width="10.69921875" style="210" customWidth="1"/>
    <col min="19" max="19" width="6.19921875" style="210" customWidth="1"/>
    <col min="20" max="20" width="3.59765625" style="210" bestFit="1" customWidth="1"/>
    <col min="21" max="21" width="4.19921875" style="210" bestFit="1" customWidth="1"/>
    <col min="22" max="22" width="3.59765625" style="210" bestFit="1" customWidth="1"/>
    <col min="23" max="23" width="5" style="210" bestFit="1" customWidth="1"/>
    <col min="24" max="24" width="11.09765625" style="210" customWidth="1"/>
    <col min="25" max="25" width="4.69921875" style="210" bestFit="1" customWidth="1"/>
    <col min="26" max="27" width="5.09765625" style="210" bestFit="1" customWidth="1"/>
    <col min="28" max="30" width="3.59765625" style="210" bestFit="1" customWidth="1"/>
    <col min="31" max="31" width="4.3984375" style="210" bestFit="1" customWidth="1"/>
    <col min="32" max="32" width="2.5" style="210" customWidth="1"/>
    <col min="33" max="33" width="8.59765625" style="240" customWidth="1"/>
    <col min="34" max="34" width="6.09765625" style="240" customWidth="1"/>
    <col min="35" max="35" width="6.8984375" style="240" customWidth="1"/>
    <col min="36" max="36" width="8.5" style="240" customWidth="1"/>
    <col min="37" max="37" width="10.5" style="240" customWidth="1"/>
    <col min="38" max="38" width="9.09765625" style="240" bestFit="1" customWidth="1"/>
    <col min="39" max="39" width="8.09765625" style="240" customWidth="1"/>
    <col min="40" max="40" width="6.69921875" style="240" customWidth="1"/>
    <col min="41" max="41" width="10.69921875" style="240" customWidth="1"/>
    <col min="42" max="42" width="5.09765625" style="240" customWidth="1"/>
    <col min="43" max="43" width="5.59765625" style="240" bestFit="1" customWidth="1"/>
    <col min="44" max="44" width="6" style="240" customWidth="1"/>
    <col min="45" max="45" width="4" style="240" bestFit="1" customWidth="1"/>
    <col min="46" max="46" width="5.5" style="240" bestFit="1" customWidth="1"/>
    <col min="47" max="47" width="5" style="240" bestFit="1" customWidth="1"/>
    <col min="48" max="48" width="4.5" style="240" bestFit="1" customWidth="1"/>
    <col min="49" max="49" width="6" style="240" bestFit="1" customWidth="1"/>
    <col min="50" max="51" width="9.09765625" style="210" bestFit="1" customWidth="1"/>
    <col min="52" max="52" width="9" style="210"/>
    <col min="53" max="54" width="9.09765625" style="210" bestFit="1" customWidth="1"/>
    <col min="55" max="16384" width="9" style="210"/>
  </cols>
  <sheetData>
    <row r="1" spans="2:54" s="238" customFormat="1">
      <c r="B1" s="238" t="s">
        <v>203</v>
      </c>
      <c r="N1" s="238" t="s">
        <v>137</v>
      </c>
    </row>
    <row r="2" spans="2:54" ht="14.4" thickBot="1">
      <c r="B2" s="238" t="s">
        <v>114</v>
      </c>
      <c r="C2" s="239"/>
      <c r="D2" s="448" t="s">
        <v>205</v>
      </c>
      <c r="E2" s="448"/>
      <c r="F2" s="448"/>
      <c r="G2" s="448"/>
      <c r="H2" s="448"/>
      <c r="I2" s="448"/>
      <c r="J2" s="448"/>
      <c r="K2" s="448"/>
      <c r="L2" s="448"/>
      <c r="AG2" s="210"/>
      <c r="AH2" s="210"/>
      <c r="AI2" s="210"/>
      <c r="AJ2" s="210"/>
      <c r="AK2" s="210"/>
    </row>
    <row r="3" spans="2:54" ht="14.4">
      <c r="B3" s="449" t="s">
        <v>77</v>
      </c>
      <c r="C3" s="450"/>
      <c r="D3" s="450"/>
      <c r="E3" s="450"/>
      <c r="F3" s="450"/>
      <c r="G3" s="450"/>
      <c r="H3" s="450"/>
      <c r="I3" s="450"/>
      <c r="J3" s="450"/>
      <c r="K3" s="450"/>
      <c r="L3" s="451"/>
      <c r="M3" s="241"/>
      <c r="AG3" s="242" t="s">
        <v>78</v>
      </c>
      <c r="AH3" s="210"/>
      <c r="AI3" s="210"/>
      <c r="AJ3" s="210"/>
      <c r="AK3" s="210"/>
      <c r="AL3" s="210"/>
      <c r="AM3" s="210"/>
      <c r="AN3" s="210"/>
      <c r="AO3" s="210"/>
      <c r="AQ3" s="242" t="s">
        <v>147</v>
      </c>
      <c r="AW3" s="210"/>
    </row>
    <row r="4" spans="2:54" ht="18" customHeight="1">
      <c r="B4" s="452" t="s">
        <v>79</v>
      </c>
      <c r="C4" s="443" t="s">
        <v>80</v>
      </c>
      <c r="D4" s="441" t="s">
        <v>209</v>
      </c>
      <c r="E4" s="441" t="s">
        <v>210</v>
      </c>
      <c r="F4" s="455" t="s">
        <v>83</v>
      </c>
      <c r="G4" s="456"/>
      <c r="H4" s="456"/>
      <c r="I4" s="456"/>
      <c r="J4" s="456"/>
      <c r="K4" s="456"/>
      <c r="L4" s="457"/>
      <c r="M4" s="245"/>
      <c r="P4" s="441" t="s">
        <v>125</v>
      </c>
      <c r="Q4" s="443" t="s">
        <v>84</v>
      </c>
      <c r="R4" s="443"/>
      <c r="S4" s="443"/>
      <c r="T4" s="443"/>
      <c r="U4" s="443"/>
      <c r="V4" s="443"/>
      <c r="W4" s="443"/>
      <c r="X4" s="444" t="s">
        <v>111</v>
      </c>
      <c r="Y4" s="425" t="s">
        <v>100</v>
      </c>
      <c r="Z4" s="426"/>
      <c r="AA4" s="426"/>
      <c r="AB4" s="426"/>
      <c r="AC4" s="426"/>
      <c r="AD4" s="426"/>
      <c r="AE4" s="427"/>
      <c r="AG4" s="246" t="s">
        <v>85</v>
      </c>
      <c r="AH4" s="246" t="s">
        <v>23</v>
      </c>
      <c r="AI4" s="246" t="s">
        <v>86</v>
      </c>
      <c r="AJ4" s="246" t="s">
        <v>87</v>
      </c>
      <c r="AK4" s="246" t="s">
        <v>88</v>
      </c>
      <c r="AL4" s="246" t="s">
        <v>89</v>
      </c>
      <c r="AM4" s="246" t="s">
        <v>90</v>
      </c>
      <c r="AN4" s="247" t="s">
        <v>91</v>
      </c>
      <c r="AO4" s="246" t="s">
        <v>92</v>
      </c>
      <c r="AQ4" s="432" t="s">
        <v>148</v>
      </c>
      <c r="AR4" s="432" t="s">
        <v>82</v>
      </c>
      <c r="AS4" s="429" t="s">
        <v>149</v>
      </c>
      <c r="AT4" s="430"/>
      <c r="AU4" s="430"/>
      <c r="AV4" s="430"/>
      <c r="AW4" s="430"/>
      <c r="AX4" s="430"/>
      <c r="AY4" s="431"/>
      <c r="AZ4" s="432" t="s">
        <v>129</v>
      </c>
      <c r="BA4" s="432" t="s">
        <v>82</v>
      </c>
      <c r="BB4" s="432" t="s">
        <v>128</v>
      </c>
    </row>
    <row r="5" spans="2:54" ht="26.25" customHeight="1" thickBot="1">
      <c r="B5" s="453"/>
      <c r="C5" s="454"/>
      <c r="D5" s="442"/>
      <c r="E5" s="442"/>
      <c r="F5" s="248" t="s">
        <v>12</v>
      </c>
      <c r="G5" s="248" t="s">
        <v>13</v>
      </c>
      <c r="H5" s="249" t="s">
        <v>18</v>
      </c>
      <c r="I5" s="248" t="s">
        <v>14</v>
      </c>
      <c r="J5" s="248" t="s">
        <v>22</v>
      </c>
      <c r="K5" s="248" t="s">
        <v>19</v>
      </c>
      <c r="L5" s="250" t="s">
        <v>15</v>
      </c>
      <c r="M5" s="251"/>
      <c r="P5" s="442"/>
      <c r="Q5" s="243" t="s">
        <v>12</v>
      </c>
      <c r="R5" s="243" t="s">
        <v>13</v>
      </c>
      <c r="S5" s="244" t="s">
        <v>18</v>
      </c>
      <c r="T5" s="243" t="s">
        <v>14</v>
      </c>
      <c r="U5" s="243" t="s">
        <v>22</v>
      </c>
      <c r="V5" s="243" t="s">
        <v>19</v>
      </c>
      <c r="W5" s="243" t="s">
        <v>15</v>
      </c>
      <c r="X5" s="445"/>
      <c r="Y5" s="243" t="s">
        <v>12</v>
      </c>
      <c r="Z5" s="243" t="s">
        <v>13</v>
      </c>
      <c r="AA5" s="244" t="s">
        <v>18</v>
      </c>
      <c r="AB5" s="243" t="s">
        <v>14</v>
      </c>
      <c r="AC5" s="243" t="s">
        <v>22</v>
      </c>
      <c r="AD5" s="243" t="s">
        <v>19</v>
      </c>
      <c r="AE5" s="243" t="s">
        <v>15</v>
      </c>
      <c r="AG5" s="252" t="s">
        <v>93</v>
      </c>
      <c r="AH5" s="252" t="s">
        <v>94</v>
      </c>
      <c r="AI5" s="252" t="s">
        <v>95</v>
      </c>
      <c r="AJ5" s="252" t="s">
        <v>96</v>
      </c>
      <c r="AK5" s="252" t="s">
        <v>93</v>
      </c>
      <c r="AL5" s="252" t="s">
        <v>96</v>
      </c>
      <c r="AM5" s="252" t="s">
        <v>97</v>
      </c>
      <c r="AN5" s="253"/>
      <c r="AO5" s="254"/>
      <c r="AQ5" s="433"/>
      <c r="AR5" s="433"/>
      <c r="AS5" s="255" t="s">
        <v>12</v>
      </c>
      <c r="AT5" s="255" t="s">
        <v>13</v>
      </c>
      <c r="AU5" s="256" t="s">
        <v>18</v>
      </c>
      <c r="AV5" s="255" t="s">
        <v>14</v>
      </c>
      <c r="AW5" s="255" t="s">
        <v>22</v>
      </c>
      <c r="AX5" s="255" t="s">
        <v>19</v>
      </c>
      <c r="AY5" s="255" t="s">
        <v>15</v>
      </c>
      <c r="AZ5" s="433"/>
      <c r="BA5" s="433"/>
      <c r="BB5" s="433"/>
    </row>
    <row r="6" spans="2:54">
      <c r="B6" s="438" t="s">
        <v>98</v>
      </c>
      <c r="C6" s="439"/>
      <c r="D6" s="439"/>
      <c r="E6" s="439"/>
      <c r="F6" s="439"/>
      <c r="G6" s="439"/>
      <c r="H6" s="439"/>
      <c r="I6" s="439"/>
      <c r="J6" s="439"/>
      <c r="K6" s="439"/>
      <c r="L6" s="440"/>
      <c r="M6" s="251"/>
      <c r="W6" s="251"/>
      <c r="X6" s="251"/>
      <c r="Y6" s="251"/>
      <c r="Z6" s="251"/>
      <c r="AA6" s="251"/>
      <c r="AB6" s="251"/>
      <c r="AC6" s="251"/>
      <c r="AD6" s="251"/>
      <c r="AE6" s="251"/>
      <c r="AG6" s="257"/>
      <c r="AH6" s="257"/>
      <c r="AI6" s="257"/>
      <c r="AJ6" s="257"/>
      <c r="AK6" s="257"/>
      <c r="AL6" s="257"/>
      <c r="AM6" s="257"/>
      <c r="AN6" s="257"/>
      <c r="AO6" s="257"/>
      <c r="AW6" s="210"/>
      <c r="AZ6" s="240"/>
    </row>
    <row r="7" spans="2:54" ht="53.25" customHeight="1">
      <c r="B7" s="434" t="s">
        <v>212</v>
      </c>
      <c r="C7" s="435"/>
      <c r="D7" s="258">
        <f>5%*P7</f>
        <v>156.11639171273336</v>
      </c>
      <c r="E7" s="258">
        <f>BA7/3.6</f>
        <v>0</v>
      </c>
      <c r="F7" s="258">
        <f>5%*Q7</f>
        <v>5.5147856159999979E-4</v>
      </c>
      <c r="G7" s="258">
        <f t="shared" ref="G7:L7" si="0">5%*R7</f>
        <v>5.5147856159999979E-4</v>
      </c>
      <c r="H7" s="258">
        <f t="shared" si="0"/>
        <v>43.229816965839994</v>
      </c>
      <c r="I7" s="258">
        <f t="shared" si="0"/>
        <v>2.5735666208000003E-10</v>
      </c>
      <c r="J7" s="258">
        <f t="shared" si="0"/>
        <v>1.3786964039999995E-4</v>
      </c>
      <c r="K7" s="258">
        <f t="shared" si="0"/>
        <v>2.3437838868000004E-2</v>
      </c>
      <c r="L7" s="258">
        <f t="shared" si="0"/>
        <v>1.1948702168000001E-2</v>
      </c>
      <c r="M7" s="251"/>
      <c r="P7" s="258">
        <v>3122.3278342546669</v>
      </c>
      <c r="Q7" s="258">
        <v>1.1029571231999996E-2</v>
      </c>
      <c r="R7" s="258">
        <v>1.1029571231999996E-2</v>
      </c>
      <c r="S7" s="258">
        <v>864.5963393167998</v>
      </c>
      <c r="T7" s="258">
        <v>5.1471332415999999E-9</v>
      </c>
      <c r="U7" s="258">
        <v>2.7573928079999989E-3</v>
      </c>
      <c r="V7" s="258">
        <v>0.46875677736000004</v>
      </c>
      <c r="W7" s="258">
        <v>0.23897404336</v>
      </c>
      <c r="X7" s="251"/>
      <c r="Y7" s="251"/>
      <c r="Z7" s="251"/>
      <c r="AA7" s="251"/>
      <c r="AB7" s="251"/>
      <c r="AC7" s="251"/>
      <c r="AD7" s="251"/>
      <c r="AE7" s="251"/>
      <c r="AG7" s="257"/>
      <c r="AH7" s="257"/>
      <c r="AI7" s="257"/>
      <c r="AJ7" s="257"/>
      <c r="AK7" s="257"/>
      <c r="AL7" s="257"/>
      <c r="AM7" s="257"/>
      <c r="AN7" s="257"/>
      <c r="AO7" s="257"/>
      <c r="AW7" s="210"/>
      <c r="AZ7" s="240"/>
    </row>
    <row r="8" spans="2:54" ht="45" customHeight="1">
      <c r="B8" s="434" t="s">
        <v>206</v>
      </c>
      <c r="C8" s="435"/>
      <c r="D8" s="258">
        <f>(P8-X8)/3.6</f>
        <v>31.780555555555562</v>
      </c>
      <c r="E8" s="258">
        <f>BA8/3.6</f>
        <v>0</v>
      </c>
      <c r="F8" s="258">
        <f t="shared" ref="F8:G10" si="1">Q8-Y8</f>
        <v>5.7205000000000005E-5</v>
      </c>
      <c r="G8" s="258">
        <f t="shared" si="1"/>
        <v>5.7205000000000005E-5</v>
      </c>
      <c r="H8" s="258">
        <f>S8-AA8+BB8</f>
        <v>6.3863662000000012</v>
      </c>
      <c r="I8" s="258">
        <f t="shared" ref="I8:L10" si="2">T8-AB8</f>
        <v>0</v>
      </c>
      <c r="J8" s="258">
        <f t="shared" si="2"/>
        <v>5.7205000000000005E-5</v>
      </c>
      <c r="K8" s="258">
        <f t="shared" si="2"/>
        <v>5.7204999999999999E-3</v>
      </c>
      <c r="L8" s="258">
        <f t="shared" si="2"/>
        <v>2.9746600000000005E-3</v>
      </c>
      <c r="M8" s="251"/>
      <c r="P8" s="259">
        <v>425</v>
      </c>
      <c r="Q8" s="259">
        <f>$P$8*'Wskażniki emisji'!B5/1000000</f>
        <v>2.1249999999999999E-4</v>
      </c>
      <c r="R8" s="259">
        <f>$P$8*'Wskażniki emisji'!C5/1000000</f>
        <v>2.1249999999999999E-4</v>
      </c>
      <c r="S8" s="259">
        <f>$P$8*'Wskażniki emisji'!D5/1000000</f>
        <v>23.723500000000001</v>
      </c>
      <c r="T8" s="259">
        <f>$P$8*'Wskażniki emisji'!E5/1000000</f>
        <v>0</v>
      </c>
      <c r="U8" s="259">
        <f>$P$8*'Wskażniki emisji'!F5/1000000</f>
        <v>2.1249999999999999E-4</v>
      </c>
      <c r="V8" s="259">
        <f>$P$8*'Wskażniki emisji'!G5/1000000</f>
        <v>2.1250000000000002E-2</v>
      </c>
      <c r="W8" s="259">
        <f>$P$8*'Wskażniki emisji'!H5/1000000</f>
        <v>1.1050000000000001E-2</v>
      </c>
      <c r="X8" s="258">
        <f t="shared" ref="X8:Z9" si="3">(1-$AN8)*P8</f>
        <v>310.58999999999997</v>
      </c>
      <c r="Y8" s="258">
        <f t="shared" si="3"/>
        <v>1.5529499999999998E-4</v>
      </c>
      <c r="Z8" s="258">
        <f t="shared" si="3"/>
        <v>1.5529499999999998E-4</v>
      </c>
      <c r="AA8" s="258">
        <f t="shared" ref="AA8:AE8" si="4">(1-$AN8)*S8</f>
        <v>17.3371338</v>
      </c>
      <c r="AB8" s="258">
        <f t="shared" si="4"/>
        <v>0</v>
      </c>
      <c r="AC8" s="258">
        <f t="shared" si="4"/>
        <v>1.5529499999999998E-4</v>
      </c>
      <c r="AD8" s="258">
        <f t="shared" si="4"/>
        <v>1.5529500000000002E-2</v>
      </c>
      <c r="AE8" s="258">
        <f t="shared" si="4"/>
        <v>8.0753400000000003E-3</v>
      </c>
      <c r="AG8" s="260">
        <v>0</v>
      </c>
      <c r="AH8" s="260">
        <v>0.16</v>
      </c>
      <c r="AI8" s="260">
        <v>0</v>
      </c>
      <c r="AJ8" s="260">
        <v>0.13</v>
      </c>
      <c r="AK8" s="260">
        <v>0</v>
      </c>
      <c r="AL8" s="260">
        <v>0</v>
      </c>
      <c r="AM8" s="261">
        <v>0</v>
      </c>
      <c r="AN8" s="261">
        <f>100%-(100%-AG8)*(100%-AH8)*(100%-AI8)*(100%-AJ8)*(100%-AK8)*(100%-AL8)*(100%-AM8)</f>
        <v>0.26919999999999999</v>
      </c>
      <c r="AO8" s="262">
        <f>100%-AN8</f>
        <v>0.73080000000000001</v>
      </c>
      <c r="AQ8" s="263"/>
      <c r="AR8" s="263">
        <f>AQ8*520*3.6/1000</f>
        <v>0</v>
      </c>
      <c r="AS8" s="263">
        <f>'[1]Emisja łącznie 2019'!B8/'[1]Bud.gminne 2019'!$C$28*$AR$6</f>
        <v>0</v>
      </c>
      <c r="AT8" s="263">
        <f>'[1]Emisja łącznie 2019'!C8/'[1]Bud.gminne 2019'!$C$28*$AR$6</f>
        <v>0</v>
      </c>
      <c r="AU8" s="263">
        <f>'[1]Emisja łącznie 2019'!D8/'[1]Bud.gminne 2019'!$C$28*$AR$6</f>
        <v>0</v>
      </c>
      <c r="AV8" s="263">
        <f>'[1]Emisja łącznie 2019'!E8/'[1]Bud.gminne 2019'!$C$28*$AR$6</f>
        <v>0</v>
      </c>
      <c r="AW8" s="263">
        <f>'[1]Emisja łącznie 2019'!F8/'[1]Bud.gminne 2019'!$C$28*$AR$6</f>
        <v>0</v>
      </c>
      <c r="AX8" s="263">
        <f>'[1]Emisja łącznie 2019'!G8/'[1]Bud.gminne 2019'!$C$28*$AR$6</f>
        <v>0</v>
      </c>
      <c r="AY8" s="263">
        <f>'[1]Emisja łącznie 2019'!H8/'[1]Bud.gminne 2019'!$C$28*$AR$6</f>
        <v>0</v>
      </c>
      <c r="AZ8" s="263"/>
      <c r="BA8" s="263">
        <f>AZ8*1*3.6</f>
        <v>0</v>
      </c>
      <c r="BB8" s="263">
        <f>BA8*'Wskażniki emisji'!B17/3.6</f>
        <v>0</v>
      </c>
    </row>
    <row r="9" spans="2:54" ht="63.75" customHeight="1">
      <c r="B9" s="434" t="s">
        <v>207</v>
      </c>
      <c r="C9" s="435"/>
      <c r="D9" s="258">
        <f>(P9-X9)/3.6</f>
        <v>19.024214791822228</v>
      </c>
      <c r="E9" s="258">
        <f>BA9/3.6</f>
        <v>0</v>
      </c>
      <c r="F9" s="258">
        <f t="shared" ref="F9" si="5">Q9-Y9</f>
        <v>3.4243586625280007E-5</v>
      </c>
      <c r="G9" s="258">
        <f t="shared" ref="G9" si="6">R9-Z9</f>
        <v>3.4243586625280007E-5</v>
      </c>
      <c r="H9" s="258">
        <f>S9-AA9+BB9</f>
        <v>3.8229540108462596</v>
      </c>
      <c r="I9" s="258">
        <f t="shared" ref="I9" si="7">T9-AB9</f>
        <v>0</v>
      </c>
      <c r="J9" s="258">
        <f t="shared" ref="J9" si="8">U9-AC9</f>
        <v>3.4243586625280007E-5</v>
      </c>
      <c r="K9" s="258">
        <f t="shared" ref="K9" si="9">V9-AD9</f>
        <v>3.424358662528001E-3</v>
      </c>
      <c r="L9" s="258">
        <f t="shared" ref="L9" si="10">W9-AE9</f>
        <v>1.7806665045145603E-3</v>
      </c>
      <c r="M9" s="251"/>
      <c r="P9" s="259">
        <v>134</v>
      </c>
      <c r="Q9" s="259">
        <f>$P$9*'Wskażniki emisji'!B5/1000000</f>
        <v>6.7000000000000002E-5</v>
      </c>
      <c r="R9" s="259">
        <f>$P$9*'Wskażniki emisji'!C5/1000000</f>
        <v>6.7000000000000002E-5</v>
      </c>
      <c r="S9" s="259">
        <f>$P$9*'Wskażniki emisji'!D5/1000000</f>
        <v>7.4798799999999996</v>
      </c>
      <c r="T9" s="259">
        <f>$P$9*'Wskażniki emisji'!E5/1000000</f>
        <v>0</v>
      </c>
      <c r="U9" s="259">
        <f>$P$9*'Wskażniki emisji'!F5/1000000</f>
        <v>6.7000000000000002E-5</v>
      </c>
      <c r="V9" s="259">
        <f>$P$9*'Wskażniki emisji'!G5/1000000</f>
        <v>6.7000000000000002E-3</v>
      </c>
      <c r="W9" s="259">
        <f>$P$9*'Wskażniki emisji'!H5/1000000</f>
        <v>3.4840000000000001E-3</v>
      </c>
      <c r="X9" s="258">
        <f t="shared" si="3"/>
        <v>65.512826749439981</v>
      </c>
      <c r="Y9" s="258">
        <f t="shared" si="3"/>
        <v>3.2756413374719996E-5</v>
      </c>
      <c r="Z9" s="258">
        <f t="shared" si="3"/>
        <v>3.2756413374719996E-5</v>
      </c>
      <c r="AA9" s="258">
        <f>(1-$AN9)*S9</f>
        <v>3.65692598915374</v>
      </c>
      <c r="AB9" s="258">
        <f t="shared" ref="AB9" si="11">(1-$AN9)*T9</f>
        <v>0</v>
      </c>
      <c r="AC9" s="258">
        <f t="shared" ref="AC9" si="12">(1-$AN9)*U9</f>
        <v>3.2756413374719996E-5</v>
      </c>
      <c r="AD9" s="258">
        <f t="shared" ref="AD9" si="13">(1-$AN9)*V9</f>
        <v>3.2756413374719993E-3</v>
      </c>
      <c r="AE9" s="258">
        <f t="shared" ref="AE9" si="14">(1-$AN9)*W9</f>
        <v>1.7033334954854398E-3</v>
      </c>
      <c r="AG9" s="260">
        <v>0.11</v>
      </c>
      <c r="AH9" s="260">
        <v>0.16</v>
      </c>
      <c r="AI9" s="260">
        <v>0.04</v>
      </c>
      <c r="AJ9" s="260">
        <v>0.13</v>
      </c>
      <c r="AK9" s="260">
        <v>0</v>
      </c>
      <c r="AL9" s="260">
        <v>0.13</v>
      </c>
      <c r="AM9" s="261">
        <v>0.1</v>
      </c>
      <c r="AN9" s="261">
        <f>100%-(100%-AG9)*(100%-AH9)*(100%-AI9)*(100%-AJ9)*(100%-AK9)*(100%-AL9)*(100%-AM9)</f>
        <v>0.5110983078400001</v>
      </c>
      <c r="AO9" s="262">
        <f>100%-AN9</f>
        <v>0.4889016921599999</v>
      </c>
      <c r="AQ9" s="263"/>
      <c r="AR9" s="263">
        <f>AQ9*520*3.6/1000</f>
        <v>0</v>
      </c>
      <c r="AS9" s="263">
        <f>'[1]Emisja łącznie 2019'!B9/'[1]Bud.gminne 2019'!$C$28*$AR$6</f>
        <v>0</v>
      </c>
      <c r="AT9" s="263">
        <f>'[1]Emisja łącznie 2019'!C9/'[1]Bud.gminne 2019'!$C$28*$AR$6</f>
        <v>0</v>
      </c>
      <c r="AU9" s="263">
        <f>'[1]Emisja łącznie 2019'!D9/'[1]Bud.gminne 2019'!$C$28*$AR$6</f>
        <v>0</v>
      </c>
      <c r="AV9" s="263">
        <f>'[1]Emisja łącznie 2019'!E9/'[1]Bud.gminne 2019'!$C$28*$AR$6</f>
        <v>0</v>
      </c>
      <c r="AW9" s="263">
        <f>'[1]Emisja łącznie 2019'!F9/'[1]Bud.gminne 2019'!$C$28*$AR$6</f>
        <v>0</v>
      </c>
      <c r="AX9" s="263">
        <f>'[1]Emisja łącznie 2019'!G9/'[1]Bud.gminne 2019'!$C$28*$AR$6</f>
        <v>0</v>
      </c>
      <c r="AY9" s="263">
        <f>'[1]Emisja łącznie 2019'!H9/'[1]Bud.gminne 2019'!$C$28*$AR$6</f>
        <v>0</v>
      </c>
      <c r="AZ9" s="263"/>
      <c r="BA9" s="263">
        <f>AZ9*1*3.6</f>
        <v>0</v>
      </c>
      <c r="BB9" s="263">
        <f>BA9*'Wskażniki emisji'!B18/3.6</f>
        <v>0</v>
      </c>
    </row>
    <row r="10" spans="2:54">
      <c r="B10" s="434" t="s">
        <v>185</v>
      </c>
      <c r="C10" s="435"/>
      <c r="D10" s="258">
        <f>R27</f>
        <v>334.20134877384197</v>
      </c>
      <c r="E10" s="258">
        <v>0</v>
      </c>
      <c r="F10" s="258">
        <f t="shared" si="1"/>
        <v>0</v>
      </c>
      <c r="G10" s="258">
        <f t="shared" si="1"/>
        <v>0</v>
      </c>
      <c r="H10" s="258">
        <f>D10*'Wskażniki emisji'!B17</f>
        <v>271.37149520435969</v>
      </c>
      <c r="I10" s="258">
        <f t="shared" si="2"/>
        <v>0</v>
      </c>
      <c r="J10" s="258">
        <f t="shared" si="2"/>
        <v>0</v>
      </c>
      <c r="K10" s="258">
        <f t="shared" si="2"/>
        <v>0</v>
      </c>
      <c r="L10" s="258">
        <f t="shared" si="2"/>
        <v>0</v>
      </c>
      <c r="M10" s="251"/>
      <c r="P10" s="258"/>
      <c r="Q10" s="258"/>
      <c r="R10" s="258"/>
      <c r="S10" s="258"/>
      <c r="T10" s="258"/>
      <c r="U10" s="258"/>
      <c r="V10" s="258"/>
      <c r="W10" s="258"/>
      <c r="X10" s="258">
        <f>(1-AN10)*P10</f>
        <v>0</v>
      </c>
      <c r="Y10" s="258">
        <f t="shared" ref="Y10" si="15">(1-$AN10)*Q10</f>
        <v>0</v>
      </c>
      <c r="Z10" s="258">
        <f>$X$10*'Wskażniki emisji'!C12/1000000</f>
        <v>0</v>
      </c>
      <c r="AA10" s="258">
        <f>$X$10*'Wskażniki emisji'!D12/1000000</f>
        <v>0</v>
      </c>
      <c r="AB10" s="258">
        <f>$X$10*'Wskażniki emisji'!E12/1000000</f>
        <v>0</v>
      </c>
      <c r="AC10" s="258">
        <f>$X$10*'Wskażniki emisji'!F12/1000000</f>
        <v>0</v>
      </c>
      <c r="AD10" s="258">
        <f>$X$10*'Wskażniki emisji'!G12/1000000</f>
        <v>0</v>
      </c>
      <c r="AE10" s="258">
        <f>$X$10*'Wskażniki emisji'!H12/1000000</f>
        <v>0</v>
      </c>
      <c r="AG10" s="261"/>
      <c r="AH10" s="261"/>
      <c r="AI10" s="261"/>
      <c r="AJ10" s="261"/>
      <c r="AK10" s="261"/>
      <c r="AL10" s="261"/>
      <c r="AM10" s="261"/>
      <c r="AN10" s="261">
        <f>100%-(100%-AG10)*(100%-AH10)*(100%-AI10)*(100%-AJ10)*(100%-AK10)*(100%-AL10)*(100%-AM10)</f>
        <v>0</v>
      </c>
      <c r="AO10" s="262">
        <f>100%-AN10</f>
        <v>1</v>
      </c>
    </row>
    <row r="11" spans="2:54">
      <c r="B11" s="436" t="s">
        <v>99</v>
      </c>
      <c r="C11" s="437"/>
      <c r="D11" s="258">
        <f>SUM(D7:D10)</f>
        <v>541.12251083395313</v>
      </c>
      <c r="E11" s="258">
        <f t="shared" ref="E11:K11" si="16">SUM(E7:E10)</f>
        <v>0</v>
      </c>
      <c r="F11" s="258">
        <f t="shared" si="16"/>
        <v>6.4292714822527988E-4</v>
      </c>
      <c r="G11" s="258">
        <f t="shared" si="16"/>
        <v>6.4292714822527988E-4</v>
      </c>
      <c r="H11" s="258">
        <f t="shared" si="16"/>
        <v>324.81063238104593</v>
      </c>
      <c r="I11" s="258">
        <f t="shared" si="16"/>
        <v>2.5735666208000003E-10</v>
      </c>
      <c r="J11" s="258">
        <f t="shared" si="16"/>
        <v>2.2931822702527995E-4</v>
      </c>
      <c r="K11" s="258">
        <f t="shared" si="16"/>
        <v>3.2582697530528004E-2</v>
      </c>
      <c r="L11" s="258">
        <f>SUM(L7:L10)</f>
        <v>1.6704028672514561E-2</v>
      </c>
      <c r="M11" s="264"/>
      <c r="P11" s="251"/>
      <c r="AG11" s="265"/>
      <c r="AH11" s="266"/>
      <c r="AI11" s="266"/>
      <c r="AJ11" s="266"/>
      <c r="AK11" s="257"/>
      <c r="AL11" s="266"/>
      <c r="AM11" s="266"/>
      <c r="AN11" s="257"/>
      <c r="AO11" s="257"/>
    </row>
    <row r="12" spans="2:54" ht="14.25" customHeight="1">
      <c r="M12" s="264"/>
      <c r="Q12" s="425" t="s">
        <v>84</v>
      </c>
      <c r="R12" s="426"/>
      <c r="S12" s="426"/>
      <c r="T12" s="426"/>
      <c r="U12" s="426"/>
      <c r="V12" s="426"/>
      <c r="W12" s="427"/>
      <c r="Y12" s="425" t="s">
        <v>100</v>
      </c>
      <c r="Z12" s="426"/>
      <c r="AA12" s="426"/>
      <c r="AB12" s="426"/>
      <c r="AC12" s="426"/>
      <c r="AD12" s="426"/>
      <c r="AE12" s="427"/>
      <c r="AG12" s="257"/>
      <c r="AH12" s="257"/>
      <c r="AI12" s="257"/>
      <c r="AJ12" s="257"/>
      <c r="AK12" s="257"/>
      <c r="AL12" s="257"/>
      <c r="AM12" s="257"/>
      <c r="AN12" s="257"/>
      <c r="AO12" s="257"/>
    </row>
    <row r="13" spans="2:54" ht="67.2">
      <c r="B13" s="428" t="s">
        <v>101</v>
      </c>
      <c r="C13" s="428"/>
      <c r="D13" s="428"/>
      <c r="E13" s="428"/>
      <c r="F13" s="428"/>
      <c r="G13" s="428"/>
      <c r="H13" s="428"/>
      <c r="I13" s="428"/>
      <c r="J13" s="428"/>
      <c r="K13" s="428"/>
      <c r="L13" s="428"/>
      <c r="M13" s="264"/>
      <c r="N13" s="269" t="s">
        <v>102</v>
      </c>
      <c r="O13" s="269" t="s">
        <v>150</v>
      </c>
      <c r="P13" s="269" t="s">
        <v>151</v>
      </c>
      <c r="Q13" s="243" t="s">
        <v>12</v>
      </c>
      <c r="R13" s="243" t="s">
        <v>13</v>
      </c>
      <c r="S13" s="244" t="s">
        <v>18</v>
      </c>
      <c r="T13" s="243" t="s">
        <v>14</v>
      </c>
      <c r="U13" s="243" t="s">
        <v>22</v>
      </c>
      <c r="V13" s="243" t="s">
        <v>19</v>
      </c>
      <c r="W13" s="243" t="s">
        <v>15</v>
      </c>
      <c r="X13" s="269" t="s">
        <v>103</v>
      </c>
      <c r="Y13" s="243" t="s">
        <v>12</v>
      </c>
      <c r="Z13" s="243" t="s">
        <v>13</v>
      </c>
      <c r="AA13" s="244" t="s">
        <v>18</v>
      </c>
      <c r="AB13" s="243" t="s">
        <v>14</v>
      </c>
      <c r="AC13" s="243" t="s">
        <v>22</v>
      </c>
      <c r="AD13" s="243" t="s">
        <v>19</v>
      </c>
      <c r="AE13" s="243" t="s">
        <v>15</v>
      </c>
      <c r="AG13" s="257"/>
      <c r="AH13" s="257"/>
      <c r="AI13" s="257"/>
      <c r="AJ13" s="257"/>
      <c r="AK13" s="257"/>
      <c r="AL13" s="257"/>
      <c r="AM13" s="257"/>
      <c r="AN13" s="257"/>
      <c r="AO13" s="257"/>
    </row>
    <row r="14" spans="2:54" ht="25.5" hidden="1" customHeight="1">
      <c r="B14" s="434" t="s">
        <v>138</v>
      </c>
      <c r="C14" s="435"/>
      <c r="D14" s="258">
        <f>P14-X14</f>
        <v>0</v>
      </c>
      <c r="E14" s="258">
        <v>0</v>
      </c>
      <c r="F14" s="258">
        <f t="shared" ref="F14:L21" si="17">Q14-Y14</f>
        <v>0</v>
      </c>
      <c r="G14" s="258">
        <f t="shared" si="17"/>
        <v>0</v>
      </c>
      <c r="H14" s="258">
        <f t="shared" si="17"/>
        <v>0</v>
      </c>
      <c r="I14" s="270">
        <f t="shared" si="17"/>
        <v>0</v>
      </c>
      <c r="J14" s="258">
        <f t="shared" si="17"/>
        <v>0</v>
      </c>
      <c r="K14" s="258">
        <f t="shared" si="17"/>
        <v>0</v>
      </c>
      <c r="L14" s="258">
        <f t="shared" si="17"/>
        <v>0</v>
      </c>
      <c r="M14" s="264"/>
      <c r="N14" s="258">
        <f>'Efekt ekologiczny 2016-2020'!N50</f>
        <v>89.76</v>
      </c>
      <c r="O14" s="258"/>
      <c r="P14" s="258">
        <f>N14*O14</f>
        <v>0</v>
      </c>
      <c r="Q14" s="258">
        <f>$P$14*'Wskażniki emisji'!B11/1000000</f>
        <v>0</v>
      </c>
      <c r="R14" s="258">
        <f>$P$14*'Wskażniki emisji'!C11/1000000</f>
        <v>0</v>
      </c>
      <c r="S14" s="258">
        <f>$P$14*'Wskażniki emisji'!D11/1000000</f>
        <v>0</v>
      </c>
      <c r="T14" s="258">
        <f>$P$14*'Wskażniki emisji'!E11/1000000</f>
        <v>0</v>
      </c>
      <c r="U14" s="258">
        <f>$P$14*'Wskażniki emisji'!F11/1000000</f>
        <v>0</v>
      </c>
      <c r="V14" s="258">
        <f>$P$14*'Wskażniki emisji'!G11/1000000</f>
        <v>0</v>
      </c>
      <c r="W14" s="258">
        <f>$P$14*'Wskażniki emisji'!H11/1000000</f>
        <v>0</v>
      </c>
      <c r="X14" s="258">
        <f>(1-AN14)*P14</f>
        <v>0</v>
      </c>
      <c r="Y14" s="258">
        <f>$X$14*'Wskażniki emisji'!B12/1000000</f>
        <v>0</v>
      </c>
      <c r="Z14" s="258">
        <f>$X$14*'Wskażniki emisji'!C12/1000000</f>
        <v>0</v>
      </c>
      <c r="AA14" s="258">
        <f>$X$14*'Wskażniki emisji'!D12/1000000</f>
        <v>0</v>
      </c>
      <c r="AB14" s="258">
        <f>$X$14*'Wskażniki emisji'!E12/1000000</f>
        <v>0</v>
      </c>
      <c r="AC14" s="258">
        <f>$X$14*'Wskażniki emisji'!F12/1000000</f>
        <v>0</v>
      </c>
      <c r="AD14" s="258">
        <f>$X$14*'Wskażniki emisji'!G12/1000000</f>
        <v>0</v>
      </c>
      <c r="AE14" s="258">
        <f>$X$14*'Wskażniki emisji'!H12/1000000</f>
        <v>0</v>
      </c>
      <c r="AG14" s="261">
        <v>0</v>
      </c>
      <c r="AH14" s="261">
        <v>0</v>
      </c>
      <c r="AI14" s="261">
        <v>0</v>
      </c>
      <c r="AJ14" s="261">
        <v>0</v>
      </c>
      <c r="AK14" s="261">
        <v>0</v>
      </c>
      <c r="AL14" s="261">
        <v>0</v>
      </c>
      <c r="AM14" s="261">
        <v>0.25</v>
      </c>
      <c r="AN14" s="261">
        <f>100%-(100%-AG14)*(100%-AH14)*(100%-AI14)*(100%-AJ14)*(100%-AK14)*(100%-AL14)*(100%-AM14)</f>
        <v>0.25</v>
      </c>
      <c r="AO14" s="262">
        <f>100%-AN14</f>
        <v>0.75</v>
      </c>
    </row>
    <row r="15" spans="2:54" ht="25.5" customHeight="1">
      <c r="B15" s="417" t="s">
        <v>213</v>
      </c>
      <c r="C15" s="417"/>
      <c r="D15" s="258">
        <f>(P15-X15)/3.6</f>
        <v>1558.3333333333333</v>
      </c>
      <c r="E15" s="258">
        <f>X15/3.6</f>
        <v>4675</v>
      </c>
      <c r="F15" s="258">
        <f t="shared" si="17"/>
        <v>4.4767800000000006</v>
      </c>
      <c r="G15" s="258">
        <f t="shared" si="17"/>
        <v>3.95505</v>
      </c>
      <c r="H15" s="258">
        <f t="shared" si="17"/>
        <v>2103.5255999999999</v>
      </c>
      <c r="I15" s="270">
        <f t="shared" si="17"/>
        <v>5.8905000000000008E-3</v>
      </c>
      <c r="J15" s="258">
        <f t="shared" si="17"/>
        <v>20.010870000000001</v>
      </c>
      <c r="K15" s="258">
        <f t="shared" si="17"/>
        <v>2.0139899999999997</v>
      </c>
      <c r="L15" s="258">
        <f t="shared" si="17"/>
        <v>99.069009600000001</v>
      </c>
      <c r="M15" s="264"/>
      <c r="N15" s="259">
        <f>'Efekt ekologiczny 2016-2020'!N50</f>
        <v>89.76</v>
      </c>
      <c r="O15" s="258">
        <f>50*5</f>
        <v>250</v>
      </c>
      <c r="P15" s="258">
        <f>N15*O15</f>
        <v>22440</v>
      </c>
      <c r="Q15" s="258">
        <f>$P$15*'Wskażniki emisji'!B11/1000000</f>
        <v>5.0490000000000004</v>
      </c>
      <c r="R15" s="258">
        <f>$P$15*'Wskażniki emisji'!C11/1000000</f>
        <v>4.51044</v>
      </c>
      <c r="S15" s="258">
        <f>$P$15*'Wskażniki emisji'!D11/1000000</f>
        <v>2103.5255999999999</v>
      </c>
      <c r="T15" s="258">
        <f>$P$15*'Wskażniki emisji'!E11/1000000</f>
        <v>6.0588000000000005E-3</v>
      </c>
      <c r="U15" s="258">
        <f>$P$15*'Wskażniki emisji'!F11/1000000</f>
        <v>20.196000000000002</v>
      </c>
      <c r="V15" s="258">
        <f>$P$15*'Wskażniki emisji'!G11/1000000</f>
        <v>3.5455199999999998</v>
      </c>
      <c r="W15" s="258">
        <f>$P$15*'Wskażniki emisji'!H11/1000000</f>
        <v>103.224</v>
      </c>
      <c r="X15" s="258">
        <f>(1-AN15)*P15</f>
        <v>16830</v>
      </c>
      <c r="Y15" s="258">
        <f>$X$15*'Wskażniki emisji'!B15/1000000</f>
        <v>0.57221999999999995</v>
      </c>
      <c r="Z15" s="258">
        <f>$X$15*'Wskażniki emisji'!C15/1000000</f>
        <v>0.55539000000000005</v>
      </c>
      <c r="AA15" s="258">
        <f>$X$15*'Wskażniki emisji'!D15/1000000</f>
        <v>0</v>
      </c>
      <c r="AB15" s="258">
        <f>$X$15*'Wskażniki emisji'!E15/1000000</f>
        <v>1.683E-4</v>
      </c>
      <c r="AC15" s="258">
        <f>$X$15*'Wskażniki emisji'!F15/1000000</f>
        <v>0.18512999999999999</v>
      </c>
      <c r="AD15" s="258">
        <f>$X$15*'Wskażniki emisji'!G15/1000000</f>
        <v>1.5315300000000001</v>
      </c>
      <c r="AE15" s="258">
        <f>$X$15*'Wskażniki emisji'!H15/1000000</f>
        <v>4.1549904</v>
      </c>
      <c r="AG15" s="261">
        <v>0</v>
      </c>
      <c r="AH15" s="261">
        <v>0</v>
      </c>
      <c r="AI15" s="261">
        <v>0</v>
      </c>
      <c r="AJ15" s="261">
        <v>0</v>
      </c>
      <c r="AK15" s="261">
        <v>0</v>
      </c>
      <c r="AL15" s="261">
        <v>0</v>
      </c>
      <c r="AM15" s="261">
        <v>0.25</v>
      </c>
      <c r="AN15" s="261">
        <f>100%-(100%-AG15)*(100%-AH15)*(100%-AI15)*(100%-AJ15)*(100%-AK15)*(100%-AL15)*(100%-AM15)</f>
        <v>0.25</v>
      </c>
      <c r="AO15" s="262">
        <f>100%-AN15</f>
        <v>0.75</v>
      </c>
    </row>
    <row r="16" spans="2:54" ht="25.5" hidden="1" customHeight="1">
      <c r="B16" s="417" t="s">
        <v>140</v>
      </c>
      <c r="C16" s="417"/>
      <c r="D16" s="258">
        <f>P16-X16</f>
        <v>0</v>
      </c>
      <c r="E16" s="258">
        <v>0</v>
      </c>
      <c r="F16" s="258">
        <f t="shared" si="17"/>
        <v>0</v>
      </c>
      <c r="G16" s="258">
        <f t="shared" si="17"/>
        <v>0</v>
      </c>
      <c r="H16" s="258">
        <f t="shared" si="17"/>
        <v>0</v>
      </c>
      <c r="I16" s="270">
        <f t="shared" si="17"/>
        <v>0</v>
      </c>
      <c r="J16" s="258">
        <f t="shared" si="17"/>
        <v>0</v>
      </c>
      <c r="K16" s="258">
        <f t="shared" si="17"/>
        <v>0</v>
      </c>
      <c r="L16" s="258">
        <f t="shared" si="17"/>
        <v>0</v>
      </c>
      <c r="M16" s="264"/>
      <c r="N16" s="258">
        <f>N15</f>
        <v>89.76</v>
      </c>
      <c r="O16" s="258"/>
      <c r="P16" s="258">
        <f>N16*O16</f>
        <v>0</v>
      </c>
      <c r="Q16" s="258">
        <f>$P$16*'Wskażniki emisji'!B11/1000000</f>
        <v>0</v>
      </c>
      <c r="R16" s="258">
        <f>$P$16*'Wskażniki emisji'!C11/1000000</f>
        <v>0</v>
      </c>
      <c r="S16" s="258">
        <f>$P$16*'Wskażniki emisji'!D11/1000000</f>
        <v>0</v>
      </c>
      <c r="T16" s="258">
        <f>$P$16*'Wskażniki emisji'!E11/1000000</f>
        <v>0</v>
      </c>
      <c r="U16" s="258">
        <f>$P$16*'Wskażniki emisji'!F11/1000000</f>
        <v>0</v>
      </c>
      <c r="V16" s="258">
        <f>$P$16*'Wskażniki emisji'!G11/1000000</f>
        <v>0</v>
      </c>
      <c r="W16" s="258">
        <f>$P$16*'Wskażniki emisji'!H11/1000000</f>
        <v>0</v>
      </c>
      <c r="X16" s="258">
        <f>(1-AN16)*P16</f>
        <v>0</v>
      </c>
      <c r="Y16" s="258">
        <f>$X$16*'Wskażniki emisji'!B5/1000000</f>
        <v>0</v>
      </c>
      <c r="Z16" s="258">
        <f>$X$16*'Wskażniki emisji'!C5/1000000</f>
        <v>0</v>
      </c>
      <c r="AA16" s="258">
        <f>$X$16*'Wskażniki emisji'!D5/1000000</f>
        <v>0</v>
      </c>
      <c r="AB16" s="258">
        <f>$X$16*'Wskażniki emisji'!E5/1000000</f>
        <v>0</v>
      </c>
      <c r="AC16" s="258">
        <f>$X$16*'Wskażniki emisji'!F5/1000000</f>
        <v>0</v>
      </c>
      <c r="AD16" s="258">
        <f>$X$16*'Wskażniki emisji'!G5/1000000</f>
        <v>0</v>
      </c>
      <c r="AE16" s="258">
        <f>$X$16*'Wskażniki emisji'!H5/1000000</f>
        <v>0</v>
      </c>
      <c r="AG16" s="261">
        <v>0</v>
      </c>
      <c r="AH16" s="261">
        <v>0</v>
      </c>
      <c r="AI16" s="261">
        <v>0</v>
      </c>
      <c r="AJ16" s="261">
        <v>0</v>
      </c>
      <c r="AK16" s="261">
        <v>0</v>
      </c>
      <c r="AL16" s="261">
        <v>0</v>
      </c>
      <c r="AM16" s="261">
        <v>0.3</v>
      </c>
      <c r="AN16" s="261">
        <f>100%-(100%-AG16)*(100%-AH16)*(100%-AI16)*(100%-AJ16)*(100%-AK16)*(100%-AL16)*(100%-AM16)</f>
        <v>0.30000000000000004</v>
      </c>
      <c r="AO16" s="262">
        <f>100%-AN16</f>
        <v>0.7</v>
      </c>
    </row>
    <row r="17" spans="1:49" ht="25.5" customHeight="1">
      <c r="B17" s="417" t="s">
        <v>48</v>
      </c>
      <c r="C17" s="417"/>
      <c r="D17" s="258">
        <f>P17-X17</f>
        <v>3593.3141481600014</v>
      </c>
      <c r="E17" s="258">
        <v>0</v>
      </c>
      <c r="F17" s="258">
        <f t="shared" si="17"/>
        <v>0.80849568333600041</v>
      </c>
      <c r="G17" s="258">
        <f t="shared" si="17"/>
        <v>0.72225614378016023</v>
      </c>
      <c r="H17" s="258">
        <f t="shared" si="17"/>
        <v>336.83726824851857</v>
      </c>
      <c r="I17" s="270">
        <f t="shared" si="17"/>
        <v>9.701948200032005E-4</v>
      </c>
      <c r="J17" s="258">
        <f t="shared" si="17"/>
        <v>3.2339827333440017</v>
      </c>
      <c r="K17" s="258">
        <f t="shared" si="17"/>
        <v>0.56774363540928008</v>
      </c>
      <c r="L17" s="258">
        <f t="shared" si="17"/>
        <v>16.529245081536008</v>
      </c>
      <c r="M17" s="264"/>
      <c r="N17" s="258">
        <f>N16</f>
        <v>89.76</v>
      </c>
      <c r="O17" s="258">
        <f>20*5</f>
        <v>100</v>
      </c>
      <c r="P17" s="258">
        <f>N17*O17</f>
        <v>8976</v>
      </c>
      <c r="Q17" s="258">
        <f>$P$17*'Wskażniki emisji'!B11/1000000</f>
        <v>2.0196000000000001</v>
      </c>
      <c r="R17" s="258">
        <f>$P$17*'Wskażniki emisji'!C11/1000000</f>
        <v>1.804176</v>
      </c>
      <c r="S17" s="258">
        <f>$P$17*'Wskażniki emisji'!D11/1000000</f>
        <v>841.41024000000004</v>
      </c>
      <c r="T17" s="258">
        <f>$P$17*'Wskażniki emisji'!E11/1000000</f>
        <v>2.4235200000000002E-3</v>
      </c>
      <c r="U17" s="258">
        <f>$P$17*'Wskażniki emisji'!F11/1000000</f>
        <v>8.0784000000000002</v>
      </c>
      <c r="V17" s="258">
        <f>$P$17*'Wskażniki emisji'!G11/1000000</f>
        <v>1.4182079999999999</v>
      </c>
      <c r="W17" s="258">
        <f>$P$17*'Wskażniki emisji'!H11/1000000</f>
        <v>41.2896</v>
      </c>
      <c r="X17" s="258">
        <f t="shared" ref="X17:X18" si="18">(1-AN17)*P17</f>
        <v>5382.6858518399986</v>
      </c>
      <c r="Y17" s="258">
        <f>$X$17*'Wskażniki emisji'!B11/1000000</f>
        <v>1.2111043166639996</v>
      </c>
      <c r="Z17" s="258">
        <f>$X$17*'Wskażniki emisji'!C11/1000000</f>
        <v>1.0819198562198398</v>
      </c>
      <c r="AA17" s="258">
        <f>$X$17*'Wskażniki emisji'!D11/1000000</f>
        <v>504.57297175148148</v>
      </c>
      <c r="AB17" s="258">
        <f>$X$17*'Wskażniki emisji'!E11/1000000</f>
        <v>1.4533251799967997E-3</v>
      </c>
      <c r="AC17" s="258">
        <f>$X$17*'Wskażniki emisji'!F11/1000000</f>
        <v>4.8444172666559986</v>
      </c>
      <c r="AD17" s="258">
        <f>$X$17*'Wskażniki emisji'!G11/1000000</f>
        <v>0.85046436459071983</v>
      </c>
      <c r="AE17" s="258">
        <f>$X$17*'Wskażniki emisji'!H11/1000000</f>
        <v>24.760354918463992</v>
      </c>
      <c r="AG17" s="261">
        <v>0.12</v>
      </c>
      <c r="AH17" s="261">
        <v>0.15</v>
      </c>
      <c r="AI17" s="261">
        <v>0.03</v>
      </c>
      <c r="AJ17" s="261">
        <v>0.13</v>
      </c>
      <c r="AK17" s="261">
        <v>0.05</v>
      </c>
      <c r="AL17" s="261">
        <v>0</v>
      </c>
      <c r="AM17" s="261">
        <v>0</v>
      </c>
      <c r="AN17" s="261">
        <f t="shared" ref="AN17:AN18" si="19">100%-(100%-AG17)*(100%-AH17)*(100%-AI17)*(100%-AJ17)*(100%-AK17)*(100%-AL17)*(100%-AM17)</f>
        <v>0.40032466000000011</v>
      </c>
      <c r="AO17" s="262">
        <f t="shared" ref="AO17:AO18" si="20">100%-AN17</f>
        <v>0.59967533999999989</v>
      </c>
    </row>
    <row r="18" spans="1:49" ht="25.5" hidden="1" customHeight="1">
      <c r="B18" s="417" t="s">
        <v>158</v>
      </c>
      <c r="C18" s="417"/>
      <c r="D18" s="258">
        <f t="shared" ref="D18" si="21">P18-X18</f>
        <v>0</v>
      </c>
      <c r="E18" s="258">
        <v>0</v>
      </c>
      <c r="F18" s="258">
        <f t="shared" si="17"/>
        <v>0</v>
      </c>
      <c r="G18" s="258">
        <f t="shared" si="17"/>
        <v>0</v>
      </c>
      <c r="H18" s="258">
        <f t="shared" si="17"/>
        <v>0</v>
      </c>
      <c r="I18" s="270">
        <f t="shared" si="17"/>
        <v>0</v>
      </c>
      <c r="J18" s="258">
        <f t="shared" si="17"/>
        <v>0</v>
      </c>
      <c r="K18" s="258">
        <f t="shared" si="17"/>
        <v>0</v>
      </c>
      <c r="L18" s="258">
        <f t="shared" si="17"/>
        <v>0</v>
      </c>
      <c r="M18" s="264"/>
      <c r="N18" s="258">
        <f>N17</f>
        <v>89.76</v>
      </c>
      <c r="O18" s="258"/>
      <c r="P18" s="258">
        <f>N18*O18</f>
        <v>0</v>
      </c>
      <c r="Q18" s="258">
        <f>$P$18*'Wskażniki emisji'!B11/1000000</f>
        <v>0</v>
      </c>
      <c r="R18" s="258">
        <f>$P$18*'Wskażniki emisji'!C11/1000000</f>
        <v>0</v>
      </c>
      <c r="S18" s="258">
        <f>$P$18*'Wskażniki emisji'!D11/1000000</f>
        <v>0</v>
      </c>
      <c r="T18" s="258">
        <f>$P$18*'Wskażniki emisji'!E11/1000000</f>
        <v>0</v>
      </c>
      <c r="U18" s="258">
        <f>$P$18*'Wskażniki emisji'!F11/1000000</f>
        <v>0</v>
      </c>
      <c r="V18" s="258">
        <f>$P$18*'Wskażniki emisji'!G11/1000000</f>
        <v>0</v>
      </c>
      <c r="W18" s="258">
        <f>$P$18*'Wskażniki emisji'!H11/1000000</f>
        <v>0</v>
      </c>
      <c r="X18" s="258">
        <f t="shared" si="18"/>
        <v>0</v>
      </c>
      <c r="Y18" s="258">
        <f>$X$18*'Wskażniki emisji'!B5/1000000</f>
        <v>0</v>
      </c>
      <c r="Z18" s="258">
        <f>$X$18*'Wskażniki emisji'!C5/1000000</f>
        <v>0</v>
      </c>
      <c r="AA18" s="258">
        <f>$X$18*'Wskażniki emisji'!D5/1000000</f>
        <v>0</v>
      </c>
      <c r="AB18" s="258">
        <f>$X$18*'Wskażniki emisji'!E5/1000000</f>
        <v>0</v>
      </c>
      <c r="AC18" s="258">
        <f>$X$18*'Wskażniki emisji'!F5/1000000</f>
        <v>0</v>
      </c>
      <c r="AD18" s="258">
        <f>$X$18*'Wskażniki emisji'!G5/1000000</f>
        <v>0</v>
      </c>
      <c r="AE18" s="258">
        <f>$X$18*'Wskażniki emisji'!H5/1000000</f>
        <v>0</v>
      </c>
      <c r="AG18" s="261">
        <v>0.12</v>
      </c>
      <c r="AH18" s="261">
        <v>0.15</v>
      </c>
      <c r="AI18" s="261">
        <v>0.03</v>
      </c>
      <c r="AJ18" s="261">
        <v>0.13</v>
      </c>
      <c r="AK18" s="261">
        <v>0.1</v>
      </c>
      <c r="AL18" s="261">
        <v>0.13</v>
      </c>
      <c r="AM18" s="261">
        <v>0.3</v>
      </c>
      <c r="AN18" s="261">
        <f t="shared" si="19"/>
        <v>0.65401889068000008</v>
      </c>
      <c r="AO18" s="262">
        <f t="shared" si="20"/>
        <v>0.34598110931999992</v>
      </c>
    </row>
    <row r="19" spans="1:49" ht="25.5" customHeight="1">
      <c r="B19" s="417" t="s">
        <v>214</v>
      </c>
      <c r="C19" s="417"/>
      <c r="D19" s="258">
        <v>0</v>
      </c>
      <c r="E19" s="258">
        <f>P19</f>
        <v>1125</v>
      </c>
      <c r="F19" s="258">
        <f t="shared" si="17"/>
        <v>0.25312499999999999</v>
      </c>
      <c r="G19" s="258">
        <f t="shared" si="17"/>
        <v>0.22612499999999999</v>
      </c>
      <c r="H19" s="258">
        <f t="shared" si="17"/>
        <v>46.44587209302324</v>
      </c>
      <c r="I19" s="258">
        <f t="shared" si="17"/>
        <v>3.0374999999999998E-4</v>
      </c>
      <c r="J19" s="258">
        <f t="shared" si="17"/>
        <v>1.0125</v>
      </c>
      <c r="K19" s="258">
        <f t="shared" si="17"/>
        <v>0.17774999999999999</v>
      </c>
      <c r="L19" s="258">
        <f t="shared" si="17"/>
        <v>5.1749999999999998</v>
      </c>
      <c r="M19" s="264"/>
      <c r="N19" s="258"/>
      <c r="O19" s="258">
        <f>5*10*5</f>
        <v>250</v>
      </c>
      <c r="P19" s="258">
        <f>O19*1.25*3.6</f>
        <v>1125</v>
      </c>
      <c r="Q19" s="258">
        <f>$P$19*'Wskażniki emisji'!B11/1000000</f>
        <v>0.25312499999999999</v>
      </c>
      <c r="R19" s="258">
        <f>$P$19*'Wskażniki emisji'!C11/1000000</f>
        <v>0.22612499999999999</v>
      </c>
      <c r="S19" s="258">
        <f>$P$19*'Wskażniki emisji'!D11/1000000</f>
        <v>105.4575</v>
      </c>
      <c r="T19" s="258">
        <f>$P$19*'Wskażniki emisji'!E11/1000000</f>
        <v>3.0374999999999998E-4</v>
      </c>
      <c r="U19" s="258">
        <f>$P$19*'Wskażniki emisji'!F11/1000000</f>
        <v>1.0125</v>
      </c>
      <c r="V19" s="258">
        <f>$P$19*'Wskażniki emisji'!G11/1000000</f>
        <v>0.17774999999999999</v>
      </c>
      <c r="W19" s="258">
        <f>$P$19*'Wskażniki emisji'!H11/1000000</f>
        <v>5.1749999999999998</v>
      </c>
      <c r="X19" s="258">
        <f>P19/4.3</f>
        <v>261.62790697674421</v>
      </c>
      <c r="Y19" s="258">
        <v>0</v>
      </c>
      <c r="Z19" s="258">
        <v>0</v>
      </c>
      <c r="AA19" s="258">
        <f>'Wskażniki emisji'!B17/3.6*X19</f>
        <v>59.011627906976756</v>
      </c>
      <c r="AB19" s="258">
        <v>0</v>
      </c>
      <c r="AC19" s="258">
        <v>0</v>
      </c>
      <c r="AD19" s="258">
        <v>0</v>
      </c>
      <c r="AE19" s="258">
        <v>0</v>
      </c>
      <c r="AG19" s="261">
        <v>0</v>
      </c>
      <c r="AH19" s="261">
        <v>0</v>
      </c>
      <c r="AI19" s="261">
        <v>0</v>
      </c>
      <c r="AJ19" s="261">
        <v>0</v>
      </c>
      <c r="AK19" s="261">
        <v>0</v>
      </c>
      <c r="AL19" s="261">
        <v>0</v>
      </c>
      <c r="AM19" s="261">
        <v>0</v>
      </c>
      <c r="AN19" s="261">
        <f>100%-(100%-AG19)*(100%-AH19)*(100%-AI19)*(100%-AJ19)*(100%-AK19)*(100%-AL19)*(100%-AM19)</f>
        <v>0</v>
      </c>
      <c r="AO19" s="262">
        <f>100%-AN19</f>
        <v>1</v>
      </c>
    </row>
    <row r="20" spans="1:49" ht="25.5" customHeight="1">
      <c r="B20" s="417" t="s">
        <v>145</v>
      </c>
      <c r="C20" s="417"/>
      <c r="D20" s="258">
        <v>0</v>
      </c>
      <c r="E20" s="258">
        <f>P20</f>
        <v>540</v>
      </c>
      <c r="F20" s="258">
        <f t="shared" si="17"/>
        <v>0</v>
      </c>
      <c r="G20" s="258">
        <f t="shared" si="17"/>
        <v>0</v>
      </c>
      <c r="H20" s="258">
        <f t="shared" si="17"/>
        <v>121.80000000000001</v>
      </c>
      <c r="I20" s="258">
        <f t="shared" si="17"/>
        <v>0</v>
      </c>
      <c r="J20" s="258">
        <f t="shared" si="17"/>
        <v>0</v>
      </c>
      <c r="K20" s="258">
        <f t="shared" si="17"/>
        <v>0</v>
      </c>
      <c r="L20" s="258">
        <f t="shared" si="17"/>
        <v>0</v>
      </c>
      <c r="M20" s="264"/>
      <c r="N20" s="258"/>
      <c r="O20" s="258">
        <f>6*5*5</f>
        <v>150</v>
      </c>
      <c r="P20" s="258">
        <f>O20*1*3.6</f>
        <v>540</v>
      </c>
      <c r="Q20" s="258"/>
      <c r="R20" s="258"/>
      <c r="S20" s="258">
        <f>P20/3.6*'Wskażniki emisji'!B17</f>
        <v>121.80000000000001</v>
      </c>
      <c r="T20" s="258"/>
      <c r="U20" s="258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G20" s="261">
        <v>0</v>
      </c>
      <c r="AH20" s="261">
        <v>0</v>
      </c>
      <c r="AI20" s="261">
        <v>0</v>
      </c>
      <c r="AJ20" s="261">
        <v>0</v>
      </c>
      <c r="AK20" s="261">
        <v>0</v>
      </c>
      <c r="AL20" s="261">
        <v>0</v>
      </c>
      <c r="AM20" s="261"/>
      <c r="AN20" s="261">
        <f>100%-(100%-AG20)*(100%-AH20)*(100%-AI20)*(100%-AJ20)*(100%-AK20)*(100%-AL20)*(100%-AM20)</f>
        <v>0</v>
      </c>
      <c r="AO20" s="262">
        <f>100%-AN20</f>
        <v>1</v>
      </c>
    </row>
    <row r="21" spans="1:49" ht="25.5" hidden="1" customHeight="1">
      <c r="B21" s="417" t="s">
        <v>146</v>
      </c>
      <c r="C21" s="417"/>
      <c r="D21" s="258">
        <v>0</v>
      </c>
      <c r="E21" s="258">
        <f>P21</f>
        <v>0</v>
      </c>
      <c r="F21" s="258">
        <f t="shared" si="17"/>
        <v>0</v>
      </c>
      <c r="G21" s="258">
        <f t="shared" si="17"/>
        <v>0</v>
      </c>
      <c r="H21" s="258">
        <f t="shared" si="17"/>
        <v>0</v>
      </c>
      <c r="I21" s="258">
        <f t="shared" si="17"/>
        <v>0</v>
      </c>
      <c r="J21" s="258">
        <f t="shared" si="17"/>
        <v>0</v>
      </c>
      <c r="K21" s="258">
        <f t="shared" si="17"/>
        <v>0</v>
      </c>
      <c r="L21" s="258">
        <f t="shared" si="17"/>
        <v>0</v>
      </c>
      <c r="M21" s="264"/>
      <c r="N21" s="264"/>
      <c r="O21" s="258"/>
      <c r="P21" s="258">
        <f>O21*525*3.6/1000</f>
        <v>0</v>
      </c>
      <c r="Q21" s="258">
        <f>$P$21*'Wskażniki emisji'!B11/1000000</f>
        <v>0</v>
      </c>
      <c r="R21" s="258">
        <f>$P$21*'Wskażniki emisji'!C11/1000000</f>
        <v>0</v>
      </c>
      <c r="S21" s="258">
        <f>$P$21*'Wskażniki emisji'!D11/1000000</f>
        <v>0</v>
      </c>
      <c r="T21" s="258">
        <f>$P$21*'Wskażniki emisji'!E11/1000000</f>
        <v>0</v>
      </c>
      <c r="U21" s="258">
        <f>$P$21*'Wskażniki emisji'!F11/1000000</f>
        <v>0</v>
      </c>
      <c r="V21" s="258">
        <f>$P$21*'Wskażniki emisji'!G11/1000000</f>
        <v>0</v>
      </c>
      <c r="W21" s="258">
        <f>$P$21*'Wskażniki emisji'!H11/1000000</f>
        <v>0</v>
      </c>
      <c r="X21" s="264"/>
      <c r="Y21" s="264"/>
      <c r="Z21" s="264"/>
      <c r="AA21" s="264"/>
      <c r="AB21" s="264"/>
      <c r="AC21" s="264"/>
      <c r="AD21" s="264"/>
      <c r="AE21" s="264"/>
    </row>
    <row r="22" spans="1:49">
      <c r="B22" s="271"/>
      <c r="C22" s="272" t="s">
        <v>99</v>
      </c>
      <c r="D22" s="258">
        <f>SUM(D14:D21)</f>
        <v>5151.6474814933345</v>
      </c>
      <c r="E22" s="258">
        <f t="shared" ref="E22:L22" si="22">SUM(E14:E21)</f>
        <v>6340</v>
      </c>
      <c r="F22" s="258">
        <f t="shared" si="22"/>
        <v>5.5384006833360013</v>
      </c>
      <c r="G22" s="258">
        <f t="shared" si="22"/>
        <v>4.9034311437801597</v>
      </c>
      <c r="H22" s="258">
        <f t="shared" si="22"/>
        <v>2608.6087403415422</v>
      </c>
      <c r="I22" s="258">
        <f t="shared" si="22"/>
        <v>7.1644448200032015E-3</v>
      </c>
      <c r="J22" s="258">
        <f t="shared" si="22"/>
        <v>24.257352733344003</v>
      </c>
      <c r="K22" s="258">
        <f t="shared" si="22"/>
        <v>2.7594836354092798</v>
      </c>
      <c r="L22" s="258">
        <f t="shared" si="22"/>
        <v>120.773254681536</v>
      </c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</row>
    <row r="23" spans="1:49">
      <c r="B23" s="418" t="s">
        <v>235</v>
      </c>
      <c r="C23" s="419"/>
      <c r="D23" s="273">
        <f t="shared" ref="D23:L23" si="23">D22+D11</f>
        <v>5692.7699923272876</v>
      </c>
      <c r="E23" s="273">
        <f t="shared" si="23"/>
        <v>6340</v>
      </c>
      <c r="F23" s="273">
        <f t="shared" si="23"/>
        <v>5.5390436104842262</v>
      </c>
      <c r="G23" s="273">
        <f t="shared" si="23"/>
        <v>4.9040740709283845</v>
      </c>
      <c r="H23" s="273">
        <f t="shared" si="23"/>
        <v>2933.4193727225884</v>
      </c>
      <c r="I23" s="274">
        <f t="shared" si="23"/>
        <v>7.1644450773598635E-3</v>
      </c>
      <c r="J23" s="273">
        <f t="shared" si="23"/>
        <v>24.257582051571028</v>
      </c>
      <c r="K23" s="273">
        <f t="shared" si="23"/>
        <v>2.7920663329398079</v>
      </c>
      <c r="L23" s="273">
        <f t="shared" si="23"/>
        <v>120.78995871020852</v>
      </c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G23" s="210"/>
      <c r="AH23" s="210"/>
      <c r="AI23" s="210"/>
      <c r="AJ23" s="210"/>
      <c r="AK23" s="210"/>
      <c r="AL23" s="210"/>
      <c r="AM23" s="210"/>
      <c r="AN23" s="210"/>
      <c r="AP23" s="210"/>
      <c r="AQ23" s="210"/>
      <c r="AR23" s="210"/>
      <c r="AS23" s="210"/>
      <c r="AT23" s="210"/>
      <c r="AU23" s="210"/>
      <c r="AV23" s="210"/>
      <c r="AW23" s="210"/>
    </row>
    <row r="24" spans="1:49" ht="15" customHeight="1">
      <c r="C24" s="210"/>
      <c r="D24" s="275"/>
      <c r="I24" s="276"/>
      <c r="M24" s="264"/>
      <c r="N24" s="264"/>
      <c r="O24" s="264"/>
      <c r="P24" s="277"/>
      <c r="AG24" s="210"/>
      <c r="AH24" s="210"/>
      <c r="AI24" s="210"/>
      <c r="AJ24" s="210"/>
      <c r="AK24" s="210"/>
      <c r="AL24" s="210"/>
      <c r="AM24" s="210"/>
      <c r="AN24" s="210"/>
      <c r="AP24" s="210"/>
      <c r="AQ24" s="210"/>
      <c r="AR24" s="210"/>
      <c r="AS24" s="210"/>
      <c r="AT24" s="210"/>
      <c r="AU24" s="210"/>
      <c r="AV24" s="210"/>
      <c r="AW24" s="210"/>
    </row>
    <row r="25" spans="1:49" ht="14.4">
      <c r="B25" s="420" t="s">
        <v>104</v>
      </c>
      <c r="C25" s="421"/>
      <c r="D25" s="421"/>
      <c r="E25" s="421"/>
      <c r="F25" s="421"/>
      <c r="G25" s="421"/>
      <c r="H25" s="421"/>
      <c r="I25" s="421"/>
      <c r="J25" s="421"/>
      <c r="K25" s="421"/>
      <c r="L25" s="422"/>
      <c r="M25" s="264"/>
      <c r="N25" s="264"/>
      <c r="O25" s="264"/>
      <c r="P25" s="277"/>
      <c r="AG25" s="210"/>
      <c r="AH25" s="210"/>
      <c r="AI25" s="210"/>
      <c r="AJ25" s="210"/>
      <c r="AK25" s="210"/>
      <c r="AL25" s="210"/>
      <c r="AM25" s="210"/>
      <c r="AN25" s="210"/>
      <c r="AP25" s="210"/>
      <c r="AQ25" s="210"/>
      <c r="AR25" s="210"/>
      <c r="AS25" s="210"/>
      <c r="AT25" s="210"/>
      <c r="AU25" s="210"/>
      <c r="AV25" s="210"/>
      <c r="AW25" s="210"/>
    </row>
    <row r="26" spans="1:49" ht="29.25" customHeight="1">
      <c r="B26" s="423" t="s">
        <v>105</v>
      </c>
      <c r="C26" s="423"/>
      <c r="D26" s="423" t="s">
        <v>222</v>
      </c>
      <c r="E26" s="423" t="s">
        <v>236</v>
      </c>
      <c r="F26" s="424" t="s">
        <v>108</v>
      </c>
      <c r="G26" s="424"/>
      <c r="H26" s="424"/>
      <c r="I26" s="424"/>
      <c r="J26" s="424"/>
      <c r="K26" s="424"/>
      <c r="L26" s="424"/>
      <c r="M26" s="264"/>
      <c r="N26" s="181" t="s">
        <v>177</v>
      </c>
      <c r="O26" s="279" t="s">
        <v>178</v>
      </c>
      <c r="P26" s="279" t="s">
        <v>179</v>
      </c>
      <c r="Q26" s="279" t="s">
        <v>180</v>
      </c>
      <c r="R26" s="279" t="s">
        <v>181</v>
      </c>
      <c r="S26" s="279" t="s">
        <v>182</v>
      </c>
      <c r="AG26" s="210"/>
      <c r="AH26" s="280"/>
      <c r="AI26" s="210"/>
      <c r="AJ26" s="210"/>
      <c r="AK26" s="210"/>
      <c r="AL26" s="210"/>
      <c r="AM26" s="210"/>
      <c r="AN26" s="210"/>
      <c r="AP26" s="210"/>
      <c r="AQ26" s="210"/>
      <c r="AR26" s="210"/>
      <c r="AS26" s="210"/>
      <c r="AT26" s="210"/>
      <c r="AU26" s="210"/>
      <c r="AV26" s="210"/>
      <c r="AW26" s="210"/>
    </row>
    <row r="27" spans="1:49" ht="39" customHeight="1">
      <c r="A27" s="281"/>
      <c r="B27" s="423"/>
      <c r="C27" s="423"/>
      <c r="D27" s="423"/>
      <c r="E27" s="423"/>
      <c r="F27" s="282" t="s">
        <v>12</v>
      </c>
      <c r="G27" s="282" t="s">
        <v>13</v>
      </c>
      <c r="H27" s="278" t="s">
        <v>18</v>
      </c>
      <c r="I27" s="282" t="s">
        <v>14</v>
      </c>
      <c r="J27" s="282" t="s">
        <v>22</v>
      </c>
      <c r="K27" s="282" t="s">
        <v>19</v>
      </c>
      <c r="L27" s="282" t="s">
        <v>15</v>
      </c>
      <c r="M27" s="264"/>
      <c r="N27" s="259">
        <f>303.97/734</f>
        <v>0.41412806539509539</v>
      </c>
      <c r="O27" s="258">
        <v>807</v>
      </c>
      <c r="P27" s="258" t="s">
        <v>183</v>
      </c>
      <c r="Q27" s="258">
        <v>0.6</v>
      </c>
      <c r="R27" s="258">
        <f>O27*N27</f>
        <v>334.20134877384197</v>
      </c>
      <c r="S27" s="258">
        <f>Q27*R27</f>
        <v>200.52080926430517</v>
      </c>
      <c r="AG27" s="210"/>
      <c r="AH27" s="210"/>
      <c r="AI27" s="210"/>
      <c r="AJ27" s="210"/>
      <c r="AK27" s="210"/>
      <c r="AL27" s="210"/>
      <c r="AM27" s="210"/>
      <c r="AN27" s="210"/>
      <c r="AP27" s="210"/>
      <c r="AQ27" s="210"/>
      <c r="AR27" s="210"/>
      <c r="AS27" s="210"/>
      <c r="AT27" s="210"/>
      <c r="AU27" s="210"/>
      <c r="AV27" s="210"/>
      <c r="AW27" s="210"/>
    </row>
    <row r="28" spans="1:49">
      <c r="B28" s="412" t="str">
        <f>'Efekt ekologiczny 2016-2020'!B44</f>
        <v>Wartości w roku bazowym</v>
      </c>
      <c r="C28" s="412"/>
      <c r="D28" s="283">
        <f>'Efekt ekologiczny 2016-2020'!D44/3.6</f>
        <v>106912.31143735649</v>
      </c>
      <c r="E28" s="283">
        <f>'Efekt ekologiczny 2016-2020'!E44/3.6</f>
        <v>156.66666666666666</v>
      </c>
      <c r="F28" s="283">
        <f>'Efekt ekologiczny 2016-2020'!F44</f>
        <v>49.55137386143727</v>
      </c>
      <c r="G28" s="283">
        <f>'Efekt ekologiczny 2016-2020'!G44</f>
        <v>46.439120105535359</v>
      </c>
      <c r="H28" s="283">
        <f>'Efekt ekologiczny 2016-2020'!H44</f>
        <v>31057.228443814525</v>
      </c>
      <c r="I28" s="283">
        <f>'Efekt ekologiczny 2016-2020'!I44</f>
        <v>3.546078137521208E-2</v>
      </c>
      <c r="J28" s="283">
        <f>'Efekt ekologiczny 2016-2020'!J44</f>
        <v>98.328027551065702</v>
      </c>
      <c r="K28" s="283">
        <f>'Efekt ekologiczny 2016-2020'!K44</f>
        <v>82.011753576646697</v>
      </c>
      <c r="L28" s="283">
        <f>'Efekt ekologiczny 2016-2020'!L44</f>
        <v>462.97078419400407</v>
      </c>
      <c r="M28" s="264"/>
      <c r="N28" s="264"/>
      <c r="O28" s="264"/>
      <c r="P28" s="277"/>
    </row>
    <row r="29" spans="1:49" ht="35.25" customHeight="1">
      <c r="B29" s="415" t="s">
        <v>225</v>
      </c>
      <c r="C29" s="416"/>
      <c r="D29" s="273">
        <f>D23+'Efekt ekologiczny 2016-2020'!D51/3.6+'Osiągnięcie celów 2021-2025'!D37/3.6</f>
        <v>9060.1830624145114</v>
      </c>
      <c r="E29" s="273">
        <f>E23+'Efekt ekologiczny 2016-2020'!E51/3.6+'Osiągnięcie celów 2021-2025'!E37/3.6</f>
        <v>6620.942222222222</v>
      </c>
      <c r="F29" s="273">
        <f>F23+'Efekt ekologiczny 2016-2020'!F51+'Osiągnięcie celów 2021-2025'!F37</f>
        <v>9.9947057587949164</v>
      </c>
      <c r="G29" s="273">
        <f>G23+'Efekt ekologiczny 2016-2020'!G51+'Osiągnięcie celów 2021-2025'!G37</f>
        <v>8.8807059488390863</v>
      </c>
      <c r="H29" s="273">
        <f>H23+'Efekt ekologiczny 2016-2020'!H51+'Osiągnięcie celów 2021-2025'!H37</f>
        <v>4880.3400521814274</v>
      </c>
      <c r="I29" s="273">
        <f>I23+'Efekt ekologiczny 2016-2020'!I51+'Osiągnięcie celów 2021-2025'!I37</f>
        <v>1.3361642921577464E-2</v>
      </c>
      <c r="J29" s="273">
        <f>J23+'Efekt ekologiczny 2016-2020'!J51+'Osiągnięcie celów 2021-2025'!J37</f>
        <v>40.750038847561726</v>
      </c>
      <c r="K29" s="273">
        <f>K23+'Efekt ekologiczny 2016-2020'!K51+'Osiągnięcie celów 2021-2025'!K37</f>
        <v>4.7907274839455658</v>
      </c>
      <c r="L29" s="273">
        <f>L23+'Efekt ekologiczny 2016-2020'!L51+'Osiągnięcie celów 2021-2025'!L37</f>
        <v>225.65610762846222</v>
      </c>
      <c r="M29" s="264"/>
      <c r="N29" s="264"/>
      <c r="O29" s="264"/>
      <c r="P29" s="277"/>
    </row>
    <row r="30" spans="1:49" ht="41.25" customHeight="1">
      <c r="B30" s="413" t="s">
        <v>237</v>
      </c>
      <c r="C30" s="414"/>
      <c r="D30" s="273">
        <f>D28-D29</f>
        <v>97852.128374941982</v>
      </c>
      <c r="E30" s="273">
        <f>E28+E29</f>
        <v>6777.6088888888889</v>
      </c>
      <c r="F30" s="273">
        <f>F28-F29</f>
        <v>39.556668102642355</v>
      </c>
      <c r="G30" s="273">
        <f t="shared" ref="G30:L30" si="24">G28-G29</f>
        <v>37.558414156696273</v>
      </c>
      <c r="H30" s="273">
        <f t="shared" si="24"/>
        <v>26176.888391633096</v>
      </c>
      <c r="I30" s="273">
        <f t="shared" si="24"/>
        <v>2.2099138453634617E-2</v>
      </c>
      <c r="J30" s="273">
        <f t="shared" si="24"/>
        <v>57.577988703503976</v>
      </c>
      <c r="K30" s="273">
        <f t="shared" si="24"/>
        <v>77.221026092701138</v>
      </c>
      <c r="L30" s="273">
        <f t="shared" si="24"/>
        <v>237.31467656554184</v>
      </c>
    </row>
    <row r="31" spans="1:49" ht="38.25" customHeight="1">
      <c r="B31" s="458" t="s">
        <v>238</v>
      </c>
      <c r="C31" s="458"/>
      <c r="D31" s="284">
        <f>D29/D28</f>
        <v>8.4744057448642635E-2</v>
      </c>
      <c r="E31" s="284">
        <f>(E30/D30)-(E28/D28)</f>
        <v>6.7798410738722406E-2</v>
      </c>
      <c r="F31" s="284">
        <f t="shared" ref="F31:L31" si="25">F29/F28</f>
        <v>0.20170390808423516</v>
      </c>
      <c r="G31" s="284">
        <f t="shared" si="25"/>
        <v>0.19123329487417531</v>
      </c>
      <c r="H31" s="284">
        <f t="shared" si="25"/>
        <v>0.15714023100968028</v>
      </c>
      <c r="I31" s="284">
        <f t="shared" si="25"/>
        <v>0.37680057808645939</v>
      </c>
      <c r="J31" s="284">
        <f t="shared" si="25"/>
        <v>0.4144295361401264</v>
      </c>
      <c r="K31" s="284">
        <f t="shared" si="25"/>
        <v>5.8415132892729073E-2</v>
      </c>
      <c r="L31" s="284">
        <f t="shared" si="25"/>
        <v>0.48740895825923847</v>
      </c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</row>
    <row r="32" spans="1:49" ht="14.25" customHeight="1"/>
    <row r="33" spans="2:49" ht="14.25" customHeight="1"/>
    <row r="34" spans="2:49" ht="31.95" customHeight="1">
      <c r="B34" s="446" t="s">
        <v>105</v>
      </c>
      <c r="C34" s="446"/>
      <c r="D34" s="211" t="s">
        <v>215</v>
      </c>
      <c r="E34" s="211" t="s">
        <v>216</v>
      </c>
      <c r="F34" s="447" t="s">
        <v>217</v>
      </c>
      <c r="G34" s="447"/>
      <c r="H34" s="447"/>
      <c r="I34" s="447"/>
      <c r="J34" s="447"/>
      <c r="K34" s="447"/>
      <c r="L34" s="447"/>
      <c r="N34" s="212"/>
      <c r="O34" s="212"/>
      <c r="P34" s="212"/>
      <c r="Q34" s="212"/>
      <c r="T34" s="213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</row>
    <row r="35" spans="2:49" ht="14.4" customHeight="1" thickBot="1">
      <c r="B35" s="446"/>
      <c r="C35" s="446"/>
      <c r="D35" s="211" t="s">
        <v>218</v>
      </c>
      <c r="E35" s="211" t="s">
        <v>218</v>
      </c>
      <c r="F35" s="248" t="s">
        <v>12</v>
      </c>
      <c r="G35" s="248" t="s">
        <v>13</v>
      </c>
      <c r="H35" s="249" t="s">
        <v>18</v>
      </c>
      <c r="I35" s="248" t="s">
        <v>14</v>
      </c>
      <c r="J35" s="248" t="s">
        <v>22</v>
      </c>
      <c r="K35" s="248" t="s">
        <v>19</v>
      </c>
      <c r="L35" s="250" t="s">
        <v>15</v>
      </c>
      <c r="N35" s="212"/>
      <c r="O35" s="212"/>
      <c r="P35" s="212"/>
      <c r="Q35" s="212"/>
      <c r="T35" s="213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</row>
    <row r="36" spans="2:49">
      <c r="B36" s="214" t="s">
        <v>219</v>
      </c>
      <c r="C36" s="214"/>
      <c r="D36" s="215">
        <f>'Efekt ekologiczny 2016-2020'!D48/3.6</f>
        <v>4205.6211890252116</v>
      </c>
      <c r="E36" s="215">
        <f>'Efekt ekologiczny 2016-2020'!E48/3.6</f>
        <v>1202.8679999999997</v>
      </c>
      <c r="F36" s="215">
        <f>'Efekt ekologiczny 2016-2020'!F48</f>
        <v>3.6461049288770511</v>
      </c>
      <c r="G36" s="215">
        <f>'Efekt ekologiczny 2016-2020'!G48</f>
        <v>3.2572617288770545</v>
      </c>
      <c r="H36" s="215">
        <f>'Efekt ekologiczny 2016-2020'!H48</f>
        <v>2916.302989816948</v>
      </c>
      <c r="I36" s="215">
        <f>'Efekt ekologiczny 2016-2020'!I48</f>
        <v>4.3745023123488019E-3</v>
      </c>
      <c r="J36" s="215">
        <f>'Efekt ekologiczny 2016-2020'!J48</f>
        <v>14.582394075917051</v>
      </c>
      <c r="K36" s="215">
        <f>'Efekt ekologiczny 2016-2020'!K48</f>
        <v>2.6513206116731993</v>
      </c>
      <c r="L36" s="215">
        <f>'Efekt ekologiczny 2016-2020'!L48</f>
        <v>32.852950587752957</v>
      </c>
      <c r="N36" s="212"/>
      <c r="O36" s="212"/>
      <c r="P36" s="212"/>
      <c r="Q36" s="212"/>
      <c r="T36" s="213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</row>
    <row r="37" spans="2:49" s="216" customFormat="1" ht="14.4">
      <c r="B37" s="217" t="s">
        <v>220</v>
      </c>
      <c r="C37" s="218"/>
      <c r="D37" s="219">
        <f>'Efekt ekologiczny 2016-2020'!D51/3.6</f>
        <v>1615.1350614575201</v>
      </c>
      <c r="E37" s="219">
        <f>'Efekt ekologiczny 2016-2020'!E51/3.6</f>
        <v>9.8800000000000008</v>
      </c>
      <c r="F37" s="219">
        <f>'Efekt ekologiczny 2016-2020'!F51</f>
        <v>2.2008712498080705</v>
      </c>
      <c r="G37" s="219">
        <f>'Efekt ekologiczny 2016-2020'!G51</f>
        <v>1.9644864946080711</v>
      </c>
      <c r="H37" s="219">
        <f>'Efekt ekologiczny 2016-2020'!H51</f>
        <v>674.39001452515777</v>
      </c>
      <c r="I37" s="219">
        <f>'Efekt ekologiczny 2016-2020'!I51</f>
        <v>3.0632559221087999E-3</v>
      </c>
      <c r="J37" s="219">
        <f>'Efekt ekologiczny 2016-2020'!J51</f>
        <v>8.1260640336480705</v>
      </c>
      <c r="K37" s="219">
        <f>'Efekt ekologiczny 2016-2020'!K51</f>
        <v>0.97733220077508998</v>
      </c>
      <c r="L37" s="219">
        <f>'Efekt ekologiczny 2016-2020'!L51</f>
        <v>51.836021692753071</v>
      </c>
      <c r="M37" s="210"/>
      <c r="N37" s="212"/>
      <c r="O37" s="212"/>
      <c r="P37" s="212"/>
      <c r="Q37" s="220"/>
      <c r="R37" s="221"/>
      <c r="S37" s="212"/>
    </row>
    <row r="38" spans="2:49" s="216" customFormat="1" ht="14.4">
      <c r="B38" s="217" t="s">
        <v>221</v>
      </c>
      <c r="C38" s="218"/>
      <c r="D38" s="222">
        <f>D37/D36</f>
        <v>0.3840419735548935</v>
      </c>
      <c r="E38" s="222">
        <v>0</v>
      </c>
      <c r="F38" s="222">
        <f>F37/F36</f>
        <v>0.60362257607487668</v>
      </c>
      <c r="G38" s="222">
        <f t="shared" ref="G38:L38" si="26">G37/G36</f>
        <v>0.60310980760067157</v>
      </c>
      <c r="H38" s="222">
        <f t="shared" si="26"/>
        <v>0.23124826771428447</v>
      </c>
      <c r="I38" s="222">
        <f t="shared" si="26"/>
        <v>0.70025244093745731</v>
      </c>
      <c r="J38" s="222">
        <f t="shared" si="26"/>
        <v>0.55725170992795581</v>
      </c>
      <c r="K38" s="222">
        <f t="shared" si="26"/>
        <v>0.36862090404008657</v>
      </c>
      <c r="L38" s="222">
        <f t="shared" si="26"/>
        <v>1.5778193667656959</v>
      </c>
      <c r="M38" s="210"/>
      <c r="N38" s="212"/>
      <c r="O38" s="212"/>
      <c r="P38" s="212"/>
      <c r="Q38" s="220"/>
      <c r="R38" s="221"/>
      <c r="S38" s="223"/>
    </row>
    <row r="39" spans="2:49" s="216" customFormat="1" ht="14.4">
      <c r="B39" s="217" t="s">
        <v>221</v>
      </c>
      <c r="C39" s="218"/>
      <c r="D39" s="222">
        <f>'Efekt ekologiczny 2016-2020'!D52</f>
        <v>1.510710076083129E-2</v>
      </c>
      <c r="E39" s="222">
        <f>'Efekt ekologiczny 2016-2020'!E52</f>
        <v>1.1630681411130424E-4</v>
      </c>
      <c r="F39" s="222">
        <f>'Efekt ekologiczny 2016-2020'!F52</f>
        <v>4.4415948101912683E-2</v>
      </c>
      <c r="G39" s="222">
        <f>'Efekt ekologiczny 2016-2020'!G52</f>
        <v>4.2302405604233491E-2</v>
      </c>
      <c r="H39" s="222">
        <f>'Efekt ekologiczny 2016-2020'!H52</f>
        <v>2.1714430047909565E-2</v>
      </c>
      <c r="I39" s="222">
        <f>'Efekt ekologiczny 2016-2020'!I52</f>
        <v>8.63843323049302E-2</v>
      </c>
      <c r="J39" s="222">
        <f>'Efekt ekologiczny 2016-2020'!J52</f>
        <v>8.264239847003825E-2</v>
      </c>
      <c r="K39" s="222">
        <f>'Efekt ekologiczny 2016-2020'!K52</f>
        <v>1.191697723987444E-2</v>
      </c>
      <c r="L39" s="222">
        <f>'Efekt ekologiczny 2016-2020'!L52</f>
        <v>0.1119639153537421</v>
      </c>
      <c r="M39" s="210"/>
      <c r="N39" s="212"/>
      <c r="O39" s="212"/>
      <c r="P39" s="212"/>
      <c r="Q39" s="220"/>
      <c r="R39" s="221"/>
      <c r="S39" s="223"/>
    </row>
    <row r="40" spans="2:49" s="216" customFormat="1" ht="5.25" customHeight="1">
      <c r="B40" s="224"/>
      <c r="C40" s="224"/>
      <c r="D40" s="225"/>
      <c r="E40" s="226"/>
      <c r="F40" s="226"/>
      <c r="G40" s="226"/>
      <c r="H40" s="226"/>
      <c r="I40" s="226"/>
      <c r="J40" s="226"/>
      <c r="K40" s="226"/>
      <c r="L40" s="226"/>
      <c r="M40" s="210"/>
      <c r="N40" s="212"/>
      <c r="O40" s="212"/>
      <c r="P40" s="212"/>
      <c r="Q40" s="227"/>
      <c r="R40" s="213"/>
      <c r="S40" s="212"/>
    </row>
    <row r="41" spans="2:49" ht="14.4">
      <c r="B41" s="217" t="s">
        <v>226</v>
      </c>
      <c r="C41" s="218"/>
      <c r="D41" s="228">
        <f>'Osiągnięcie celów 2021-2025'!D37/3.6</f>
        <v>1752.2780086297037</v>
      </c>
      <c r="E41" s="228">
        <f>'Osiągnięcie celów 2021-2025'!E37/3.6</f>
        <v>271.06222222222226</v>
      </c>
      <c r="F41" s="228">
        <f>'Osiągnięcie celów 2021-2025'!F37</f>
        <v>2.2547908985026197</v>
      </c>
      <c r="G41" s="228">
        <f>'Osiągnięcie celów 2021-2025'!G37</f>
        <v>2.0121453833026308</v>
      </c>
      <c r="H41" s="228">
        <f>'Osiągnięcie celów 2021-2025'!H37</f>
        <v>1272.5306649336817</v>
      </c>
      <c r="I41" s="228">
        <f>'Osiągnięcie celów 2021-2025'!I37</f>
        <v>3.1339419221088002E-3</v>
      </c>
      <c r="J41" s="228">
        <f>'Osiągnięcie celów 2021-2025'!J37</f>
        <v>8.3663927623426275</v>
      </c>
      <c r="K41" s="228">
        <f>'Osiągnięcie celów 2021-2025'!K37</f>
        <v>1.0213289502306679</v>
      </c>
      <c r="L41" s="228">
        <f>'Osiągnięcie celów 2021-2025'!L37</f>
        <v>53.030127225500621</v>
      </c>
      <c r="N41" s="212"/>
      <c r="O41" s="212"/>
      <c r="P41" s="212"/>
      <c r="S41" s="223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</row>
    <row r="42" spans="2:49">
      <c r="B42" s="217" t="s">
        <v>227</v>
      </c>
      <c r="C42" s="218"/>
      <c r="D42" s="229">
        <f>D41/D36</f>
        <v>0.41665141244826442</v>
      </c>
      <c r="E42" s="229">
        <f>E41/E36</f>
        <v>0.22534660679494536</v>
      </c>
      <c r="F42" s="229">
        <f t="shared" ref="F42:L42" si="27">F41/F36</f>
        <v>0.61841086378089061</v>
      </c>
      <c r="G42" s="229">
        <f t="shared" si="27"/>
        <v>0.61774138856085137</v>
      </c>
      <c r="H42" s="229">
        <f t="shared" si="27"/>
        <v>0.43635063619145986</v>
      </c>
      <c r="I42" s="229">
        <f t="shared" si="27"/>
        <v>0.71641107909852553</v>
      </c>
      <c r="J42" s="229">
        <f t="shared" si="27"/>
        <v>0.57373245564387787</v>
      </c>
      <c r="K42" s="229">
        <f t="shared" si="27"/>
        <v>0.38521518134546773</v>
      </c>
      <c r="L42" s="229">
        <f t="shared" si="27"/>
        <v>1.6141663466072171</v>
      </c>
      <c r="N42" s="212"/>
      <c r="O42" s="212"/>
      <c r="P42" s="212"/>
      <c r="S42" s="212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</row>
    <row r="43" spans="2:49" ht="5.25" customHeight="1">
      <c r="B43" s="230"/>
      <c r="C43" s="230"/>
      <c r="D43" s="231"/>
      <c r="E43" s="232"/>
      <c r="F43" s="232"/>
      <c r="G43" s="232"/>
      <c r="H43" s="232"/>
      <c r="I43" s="232"/>
      <c r="J43" s="232"/>
      <c r="K43" s="232"/>
      <c r="L43" s="232"/>
      <c r="N43" s="212"/>
      <c r="O43" s="212"/>
      <c r="P43" s="212"/>
      <c r="S43" s="223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</row>
    <row r="44" spans="2:49">
      <c r="B44" s="217" t="s">
        <v>228</v>
      </c>
      <c r="C44" s="218"/>
      <c r="D44" s="219">
        <f>D41+D37</f>
        <v>3367.4130700872238</v>
      </c>
      <c r="E44" s="219">
        <f t="shared" ref="E44:L44" si="28">E41+E37</f>
        <v>280.94222222222226</v>
      </c>
      <c r="F44" s="219">
        <f t="shared" si="28"/>
        <v>4.4556621483106902</v>
      </c>
      <c r="G44" s="219">
        <f t="shared" si="28"/>
        <v>3.9766318779107017</v>
      </c>
      <c r="H44" s="219">
        <f t="shared" si="28"/>
        <v>1946.9206794588395</v>
      </c>
      <c r="I44" s="219">
        <f t="shared" si="28"/>
        <v>6.1971978442176001E-3</v>
      </c>
      <c r="J44" s="219">
        <f t="shared" si="28"/>
        <v>16.492456795990698</v>
      </c>
      <c r="K44" s="219">
        <f t="shared" si="28"/>
        <v>1.9986611510057579</v>
      </c>
      <c r="L44" s="219">
        <f t="shared" si="28"/>
        <v>104.86614891825369</v>
      </c>
      <c r="N44" s="212"/>
      <c r="O44" s="212"/>
      <c r="P44" s="212"/>
      <c r="R44" s="233"/>
      <c r="S44" s="234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</row>
    <row r="45" spans="2:49">
      <c r="B45" s="217" t="s">
        <v>229</v>
      </c>
      <c r="C45" s="218"/>
      <c r="D45" s="235">
        <f>D44/D36</f>
        <v>0.80069338600315798</v>
      </c>
      <c r="E45" s="235">
        <f t="shared" ref="E45:L45" si="29">E44/E36</f>
        <v>0.23356030937910255</v>
      </c>
      <c r="F45" s="235">
        <f t="shared" si="29"/>
        <v>1.2220334398557673</v>
      </c>
      <c r="G45" s="235">
        <f t="shared" si="29"/>
        <v>1.2208511961615227</v>
      </c>
      <c r="H45" s="235">
        <f t="shared" si="29"/>
        <v>0.66759890390574428</v>
      </c>
      <c r="I45" s="235">
        <f t="shared" si="29"/>
        <v>1.4166635200359827</v>
      </c>
      <c r="J45" s="235">
        <f t="shared" si="29"/>
        <v>1.1309841655718338</v>
      </c>
      <c r="K45" s="235">
        <f t="shared" si="29"/>
        <v>0.75383608538555424</v>
      </c>
      <c r="L45" s="235">
        <f t="shared" si="29"/>
        <v>3.191985713372913</v>
      </c>
      <c r="N45" s="212"/>
      <c r="O45" s="212"/>
      <c r="P45" s="212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</row>
    <row r="46" spans="2:49">
      <c r="B46" s="217" t="s">
        <v>230</v>
      </c>
      <c r="C46" s="218"/>
      <c r="D46" s="236">
        <f>D44/D28</f>
        <v>3.1496962555713749E-2</v>
      </c>
      <c r="E46" s="237">
        <f>-(E44/'Osiągnięcie celów 2021-2025'!D35/3.6)+(E28/D28)</f>
        <v>1.2592358211669676E-3</v>
      </c>
      <c r="F46" s="236">
        <f>F44/F28</f>
        <v>8.9920052686536162E-2</v>
      </c>
      <c r="G46" s="236">
        <f t="shared" ref="G46:L46" si="30">G44/G28</f>
        <v>8.5631077179619153E-2</v>
      </c>
      <c r="H46" s="236">
        <f t="shared" si="30"/>
        <v>6.2688165590210468E-2</v>
      </c>
      <c r="I46" s="236">
        <f t="shared" si="30"/>
        <v>0.17476202170067204</v>
      </c>
      <c r="J46" s="236">
        <f t="shared" si="30"/>
        <v>0.16772894978927042</v>
      </c>
      <c r="K46" s="236">
        <f t="shared" si="30"/>
        <v>2.4370423309359499E-2</v>
      </c>
      <c r="L46" s="236">
        <f t="shared" si="30"/>
        <v>0.2265070550851658</v>
      </c>
      <c r="N46" s="212"/>
      <c r="O46" s="212"/>
      <c r="P46" s="212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</row>
    <row r="47" spans="2:49" ht="6.75" customHeight="1">
      <c r="B47" s="230"/>
      <c r="C47" s="230"/>
      <c r="D47" s="231"/>
      <c r="E47" s="231"/>
      <c r="F47" s="231"/>
      <c r="G47" s="231"/>
      <c r="H47" s="231"/>
      <c r="I47" s="231"/>
      <c r="J47" s="231"/>
      <c r="K47" s="231"/>
      <c r="L47" s="231"/>
      <c r="N47" s="212"/>
      <c r="O47" s="212"/>
      <c r="P47" s="212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</row>
    <row r="48" spans="2:49">
      <c r="B48" s="217" t="s">
        <v>231</v>
      </c>
      <c r="C48" s="218"/>
      <c r="D48" s="219">
        <f>D44+D23</f>
        <v>9060.1830624145114</v>
      </c>
      <c r="E48" s="219">
        <f>E44+E23</f>
        <v>6620.942222222222</v>
      </c>
      <c r="F48" s="219">
        <f t="shared" ref="F48:L48" si="31">F44+F23</f>
        <v>9.9947057587949164</v>
      </c>
      <c r="G48" s="219">
        <f t="shared" si="31"/>
        <v>8.8807059488390863</v>
      </c>
      <c r="H48" s="219">
        <f t="shared" si="31"/>
        <v>4880.3400521814274</v>
      </c>
      <c r="I48" s="219">
        <f t="shared" si="31"/>
        <v>1.3361642921577464E-2</v>
      </c>
      <c r="J48" s="219">
        <f t="shared" si="31"/>
        <v>40.750038847561726</v>
      </c>
      <c r="K48" s="219">
        <f t="shared" si="31"/>
        <v>4.7907274839455658</v>
      </c>
      <c r="L48" s="219">
        <f t="shared" si="31"/>
        <v>225.65610762846222</v>
      </c>
      <c r="N48" s="212"/>
      <c r="O48" s="212"/>
      <c r="P48" s="212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</row>
    <row r="49" spans="2:16" s="210" customFormat="1">
      <c r="B49" s="217" t="s">
        <v>232</v>
      </c>
      <c r="C49" s="218"/>
      <c r="D49" s="235">
        <f>D48/D36</f>
        <v>2.1543031707319558</v>
      </c>
      <c r="E49" s="235">
        <f>E48/E36</f>
        <v>5.5042965830184389</v>
      </c>
      <c r="F49" s="235">
        <f>F48/F36</f>
        <v>2.7412008029821417</v>
      </c>
      <c r="G49" s="235">
        <f t="shared" ref="G49:L49" si="32">G48/G36</f>
        <v>2.7264330250491482</v>
      </c>
      <c r="H49" s="235">
        <f t="shared" si="32"/>
        <v>1.6734681098714503</v>
      </c>
      <c r="I49" s="235">
        <f t="shared" si="32"/>
        <v>3.0544372748092559</v>
      </c>
      <c r="J49" s="235">
        <f t="shared" si="32"/>
        <v>2.794468359270359</v>
      </c>
      <c r="K49" s="235">
        <f t="shared" si="32"/>
        <v>1.8069212236547381</v>
      </c>
      <c r="L49" s="235">
        <f t="shared" si="32"/>
        <v>6.8686709592709496</v>
      </c>
      <c r="N49" s="212"/>
      <c r="O49" s="212"/>
      <c r="P49" s="212"/>
    </row>
    <row r="50" spans="2:16" s="210" customFormat="1">
      <c r="B50" s="217" t="s">
        <v>232</v>
      </c>
      <c r="C50" s="218"/>
      <c r="D50" s="222">
        <f>D48/D28</f>
        <v>8.4744057448642635E-2</v>
      </c>
      <c r="E50" s="222">
        <f>-(E28/D28)+E30/D30</f>
        <v>6.7798410738722406E-2</v>
      </c>
      <c r="F50" s="222">
        <f t="shared" ref="F50:L50" si="33">F48/F28</f>
        <v>0.20170390808423516</v>
      </c>
      <c r="G50" s="222">
        <f t="shared" si="33"/>
        <v>0.19123329487417531</v>
      </c>
      <c r="H50" s="222">
        <f t="shared" si="33"/>
        <v>0.15714023100968028</v>
      </c>
      <c r="I50" s="222">
        <f t="shared" si="33"/>
        <v>0.37680057808645939</v>
      </c>
      <c r="J50" s="222">
        <f t="shared" si="33"/>
        <v>0.4144295361401264</v>
      </c>
      <c r="K50" s="222">
        <f t="shared" si="33"/>
        <v>5.8415132892729073E-2</v>
      </c>
      <c r="L50" s="222">
        <f t="shared" si="33"/>
        <v>0.48740895825923847</v>
      </c>
      <c r="N50" s="212"/>
      <c r="O50" s="212"/>
      <c r="P50" s="212"/>
    </row>
  </sheetData>
  <mergeCells count="46">
    <mergeCell ref="B34:C35"/>
    <mergeCell ref="F34:L34"/>
    <mergeCell ref="D2:L2"/>
    <mergeCell ref="B3:L3"/>
    <mergeCell ref="B4:B5"/>
    <mergeCell ref="C4:C5"/>
    <mergeCell ref="D4:D5"/>
    <mergeCell ref="E4:E5"/>
    <mergeCell ref="F4:L4"/>
    <mergeCell ref="B19:C19"/>
    <mergeCell ref="B14:C14"/>
    <mergeCell ref="B15:C15"/>
    <mergeCell ref="B16:C16"/>
    <mergeCell ref="B17:C17"/>
    <mergeCell ref="B18:C18"/>
    <mergeCell ref="B31:C31"/>
    <mergeCell ref="BB4:BB5"/>
    <mergeCell ref="B6:L6"/>
    <mergeCell ref="B8:C8"/>
    <mergeCell ref="P4:P5"/>
    <mergeCell ref="Q4:W4"/>
    <mergeCell ref="X4:X5"/>
    <mergeCell ref="Y4:AE4"/>
    <mergeCell ref="AQ4:AQ5"/>
    <mergeCell ref="AR4:AR5"/>
    <mergeCell ref="B7:C7"/>
    <mergeCell ref="Y12:AE12"/>
    <mergeCell ref="B13:L13"/>
    <mergeCell ref="AS4:AY4"/>
    <mergeCell ref="AZ4:AZ5"/>
    <mergeCell ref="BA4:BA5"/>
    <mergeCell ref="B9:C9"/>
    <mergeCell ref="B10:C10"/>
    <mergeCell ref="B11:C11"/>
    <mergeCell ref="Q12:W12"/>
    <mergeCell ref="B28:C28"/>
    <mergeCell ref="B30:C30"/>
    <mergeCell ref="B29:C29"/>
    <mergeCell ref="B20:C20"/>
    <mergeCell ref="B21:C21"/>
    <mergeCell ref="B23:C23"/>
    <mergeCell ref="B25:L25"/>
    <mergeCell ref="B26:C27"/>
    <mergeCell ref="D26:D27"/>
    <mergeCell ref="E26:E27"/>
    <mergeCell ref="F26:L2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Wskażniki emisji</vt:lpstr>
      <vt:lpstr>Termomodernizacje - stan 2020r.</vt:lpstr>
      <vt:lpstr>Efekt ekologiczny 2016-2020</vt:lpstr>
      <vt:lpstr>Osiągnięcie celów 2021-2025</vt:lpstr>
      <vt:lpstr>Efekt ekologiczny 2016-2030</vt:lpstr>
      <vt:lpstr>'Efekt ekologiczny 2016-2030'!Obszar_wydruku</vt:lpstr>
      <vt:lpstr>'Osiągnięcie celów 2021-2025'!Obszar_wydruku</vt:lpstr>
      <vt:lpstr>'Termomodernizacje - stan 2020r.'!Obszar_wydruku</vt:lpstr>
      <vt:lpstr>'Wskażniki emisji'!Obszar_wydruku</vt:lpstr>
    </vt:vector>
  </TitlesOfParts>
  <Company>NFOŚiGW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PBartosz</dc:creator>
  <cp:lastModifiedBy>Regina</cp:lastModifiedBy>
  <cp:lastPrinted>2026-03-23T10:22:15Z</cp:lastPrinted>
  <dcterms:created xsi:type="dcterms:W3CDTF">2014-03-11T11:11:41Z</dcterms:created>
  <dcterms:modified xsi:type="dcterms:W3CDTF">2026-03-23T10:23:02Z</dcterms:modified>
</cp:coreProperties>
</file>